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CACEF93-116E-421D-A37B-686FB3AEF9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чет" sheetId="1" r:id="rId1"/>
    <sheet name="Расчет Стсо" sheetId="7" r:id="rId2"/>
    <sheet name="П3" sheetId="9" r:id="rId3"/>
    <sheet name="Лист1" sheetId="6" state="hidden" r:id="rId4"/>
    <sheet name="ИПЦ" sheetId="5" state="hidden" r:id="rId5"/>
    <sheet name="Таблица №2" sheetId="4" state="hidden" r:id="rId6"/>
    <sheet name="ДНИ" sheetId="2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12" i="9"/>
  <c r="C13" i="9"/>
  <c r="C16" i="9"/>
  <c r="C17" i="9"/>
  <c r="C18" i="9"/>
  <c r="E23" i="1" l="1"/>
  <c r="E21" i="1"/>
  <c r="E16" i="1"/>
  <c r="E15" i="1"/>
  <c r="E14" i="1"/>
  <c r="E13" i="1"/>
  <c r="E19" i="1"/>
  <c r="E17" i="1"/>
  <c r="E18" i="1"/>
  <c r="E20" i="1"/>
  <c r="E22" i="1"/>
  <c r="E12" i="1"/>
  <c r="P27" i="9" l="1"/>
  <c r="P26" i="9"/>
  <c r="F14" i="9" l="1"/>
  <c r="E14" i="9" s="1"/>
  <c r="Q14" i="9" s="1"/>
  <c r="R14" i="9" s="1"/>
  <c r="F15" i="9"/>
  <c r="E15" i="9" s="1"/>
  <c r="Q15" i="9" s="1"/>
  <c r="X15" i="9" s="1"/>
  <c r="F16" i="9"/>
  <c r="E16" i="9" s="1"/>
  <c r="Q16" i="9" s="1"/>
  <c r="R16" i="9" s="1"/>
  <c r="F17" i="9"/>
  <c r="E17" i="9" s="1"/>
  <c r="Q17" i="9" s="1"/>
  <c r="X17" i="9" s="1"/>
  <c r="F18" i="9"/>
  <c r="E18" i="9" s="1"/>
  <c r="Q18" i="9" s="1"/>
  <c r="F19" i="9"/>
  <c r="E19" i="9" s="1"/>
  <c r="Q19" i="9" s="1"/>
  <c r="F13" i="9"/>
  <c r="E13" i="9" s="1"/>
  <c r="Q13" i="9" s="1"/>
  <c r="F23" i="9"/>
  <c r="E23" i="9" s="1"/>
  <c r="Q23" i="9" s="1"/>
  <c r="R23" i="9" s="1"/>
  <c r="F22" i="9"/>
  <c r="E22" i="9" s="1"/>
  <c r="Q22" i="9" s="1"/>
  <c r="F21" i="9"/>
  <c r="E21" i="9" s="1"/>
  <c r="Q21" i="9" s="1"/>
  <c r="F20" i="9"/>
  <c r="E20" i="9" s="1"/>
  <c r="Q20" i="9" s="1"/>
  <c r="F12" i="9"/>
  <c r="E12" i="9" s="1"/>
  <c r="Q12" i="9" s="1"/>
  <c r="X12" i="9" s="1"/>
  <c r="B9" i="9"/>
  <c r="G24" i="7"/>
  <c r="G18" i="7"/>
  <c r="G12" i="7"/>
  <c r="H24" i="7"/>
  <c r="H18" i="7"/>
  <c r="H12" i="7"/>
  <c r="H6" i="7"/>
  <c r="G6" i="7"/>
  <c r="B7" i="1" l="1"/>
  <c r="B7" i="9"/>
  <c r="X14" i="9"/>
  <c r="R15" i="9"/>
  <c r="S15" i="9"/>
  <c r="T15" i="9" s="1"/>
  <c r="U15" i="9" s="1"/>
  <c r="X16" i="9"/>
  <c r="S16" i="9" s="1"/>
  <c r="R21" i="9"/>
  <c r="X21" i="9"/>
  <c r="X23" i="9"/>
  <c r="S23" i="9" s="1"/>
  <c r="T23" i="9" s="1"/>
  <c r="S14" i="9"/>
  <c r="T14" i="9" s="1"/>
  <c r="X20" i="9"/>
  <c r="R20" i="9"/>
  <c r="R17" i="9"/>
  <c r="S17" i="9" s="1"/>
  <c r="T17" i="9" s="1"/>
  <c r="U17" i="9" s="1"/>
  <c r="R12" i="9"/>
  <c r="S12" i="9" s="1"/>
  <c r="R19" i="9"/>
  <c r="X19" i="9"/>
  <c r="X18" i="9"/>
  <c r="R18" i="9"/>
  <c r="X22" i="9"/>
  <c r="R22" i="9"/>
  <c r="X13" i="9"/>
  <c r="R13" i="9"/>
  <c r="I18" i="7"/>
  <c r="J18" i="7" s="1"/>
  <c r="I12" i="7"/>
  <c r="J12" i="7" s="1"/>
  <c r="I24" i="7"/>
  <c r="J24" i="7" s="1"/>
  <c r="I6" i="7"/>
  <c r="J6" i="7" s="1"/>
  <c r="S21" i="9" l="1"/>
  <c r="T21" i="9" s="1"/>
  <c r="U21" i="9" s="1"/>
  <c r="S22" i="9"/>
  <c r="T22" i="9" s="1"/>
  <c r="T16" i="9"/>
  <c r="U16" i="9" s="1"/>
  <c r="V16" i="9" s="1"/>
  <c r="S20" i="9"/>
  <c r="T20" i="9" s="1"/>
  <c r="U20" i="9" s="1"/>
  <c r="S19" i="9"/>
  <c r="T19" i="9" s="1"/>
  <c r="U14" i="9"/>
  <c r="V14" i="9" s="1"/>
  <c r="W14" i="9" s="1"/>
  <c r="S18" i="9"/>
  <c r="T18" i="9" s="1"/>
  <c r="T12" i="9"/>
  <c r="U12" i="9" s="1"/>
  <c r="V15" i="9"/>
  <c r="V21" i="9"/>
  <c r="W21" i="9" s="1"/>
  <c r="U23" i="9"/>
  <c r="V23" i="9" s="1"/>
  <c r="W23" i="9" s="1"/>
  <c r="V17" i="9"/>
  <c r="W17" i="9" s="1"/>
  <c r="S13" i="9"/>
  <c r="T13" i="9" s="1"/>
  <c r="U13" i="9" s="1"/>
  <c r="B9" i="1"/>
  <c r="U22" i="9" l="1"/>
  <c r="V22" i="9" s="1"/>
  <c r="W22" i="9" s="1"/>
  <c r="W16" i="9"/>
  <c r="M16" i="9" s="1"/>
  <c r="O16" i="9" s="1"/>
  <c r="W15" i="9"/>
  <c r="M15" i="9" s="1"/>
  <c r="O15" i="9" s="1"/>
  <c r="M14" i="9"/>
  <c r="O14" i="9" s="1"/>
  <c r="M23" i="9"/>
  <c r="O23" i="9" s="1"/>
  <c r="M21" i="9"/>
  <c r="O21" i="9" s="1"/>
  <c r="M17" i="9"/>
  <c r="O17" i="9" s="1"/>
  <c r="U18" i="9"/>
  <c r="V18" i="9" s="1"/>
  <c r="W18" i="9" s="1"/>
  <c r="V12" i="9"/>
  <c r="W12" i="9" s="1"/>
  <c r="M12" i="9" s="1"/>
  <c r="O12" i="9" s="1"/>
  <c r="V20" i="9"/>
  <c r="W20" i="9" s="1"/>
  <c r="V13" i="9"/>
  <c r="U19" i="9"/>
  <c r="V19" i="9" s="1"/>
  <c r="W13" i="9" l="1"/>
  <c r="L13" i="9" s="1"/>
  <c r="W19" i="9"/>
  <c r="L19" i="9" s="1"/>
  <c r="M18" i="9"/>
  <c r="O18" i="9" s="1"/>
  <c r="M22" i="9"/>
  <c r="O22" i="9" s="1"/>
  <c r="M20" i="9"/>
  <c r="O20" i="9" s="1"/>
  <c r="L15" i="9"/>
  <c r="L12" i="9"/>
  <c r="L18" i="9"/>
  <c r="L16" i="9"/>
  <c r="L22" i="9"/>
  <c r="L21" i="9"/>
  <c r="L17" i="9"/>
  <c r="L14" i="9"/>
  <c r="L23" i="9"/>
  <c r="B7" i="6"/>
  <c r="B6" i="6"/>
  <c r="B9" i="6" s="1"/>
  <c r="B5" i="6"/>
  <c r="B8" i="6" s="1"/>
  <c r="M13" i="9" l="1"/>
  <c r="O13" i="9" s="1"/>
  <c r="M19" i="9"/>
  <c r="O19" i="9" s="1"/>
  <c r="L20" i="9"/>
  <c r="C26" i="1" l="1"/>
  <c r="C3" i="9" l="1"/>
  <c r="C30" i="1"/>
  <c r="D32" i="1"/>
  <c r="D34" i="1" s="1"/>
  <c r="C29" i="1"/>
  <c r="D14" i="2"/>
  <c r="D13" i="2"/>
  <c r="D21" i="2" s="1"/>
  <c r="L23" i="1" l="1"/>
  <c r="L16" i="1"/>
  <c r="L18" i="1"/>
  <c r="L22" i="1"/>
  <c r="L15" i="1"/>
  <c r="M15" i="1" s="1"/>
  <c r="N15" i="1" s="1"/>
  <c r="O15" i="1" s="1"/>
  <c r="L14" i="1"/>
  <c r="L20" i="1"/>
  <c r="L19" i="1"/>
  <c r="M19" i="1" s="1"/>
  <c r="N19" i="1" s="1"/>
  <c r="O19" i="1" s="1"/>
  <c r="L21" i="1"/>
  <c r="L17" i="1"/>
  <c r="D20" i="2"/>
  <c r="D16" i="2"/>
  <c r="C32" i="1"/>
  <c r="M20" i="1" l="1"/>
  <c r="N20" i="1" s="1"/>
  <c r="O20" i="1" s="1"/>
  <c r="M14" i="1"/>
  <c r="N14" i="1" s="1"/>
  <c r="O14" i="1" s="1"/>
  <c r="M18" i="1"/>
  <c r="N18" i="1" s="1"/>
  <c r="O18" i="1" s="1"/>
  <c r="M22" i="1"/>
  <c r="N22" i="1" s="1"/>
  <c r="O22" i="1" s="1"/>
  <c r="M17" i="1"/>
  <c r="N17" i="1" s="1"/>
  <c r="M16" i="1"/>
  <c r="N16" i="1" s="1"/>
  <c r="O16" i="1" s="1"/>
  <c r="M21" i="1"/>
  <c r="N21" i="1" s="1"/>
  <c r="O21" i="1" s="1"/>
  <c r="M23" i="1"/>
  <c r="N23" i="1" s="1"/>
  <c r="O23" i="1" s="1"/>
  <c r="C34" i="1"/>
  <c r="L12" i="1" s="1"/>
  <c r="L13" i="1"/>
  <c r="O17" i="1" l="1"/>
  <c r="M13" i="1"/>
  <c r="N13" i="1" s="1"/>
  <c r="O13" i="1" s="1"/>
  <c r="M12" i="1" l="1"/>
  <c r="N12" i="1" l="1"/>
  <c r="O12" i="1" s="1"/>
  <c r="C3" i="1" s="1"/>
</calcChain>
</file>

<file path=xl/sharedStrings.xml><?xml version="1.0" encoding="utf-8"?>
<sst xmlns="http://schemas.openxmlformats.org/spreadsheetml/2006/main" count="326" uniqueCount="205">
  <si>
    <t>U</t>
  </si>
  <si>
    <t>МРОТ</t>
  </si>
  <si>
    <t>СНР</t>
  </si>
  <si>
    <t xml:space="preserve">Дн </t>
  </si>
  <si>
    <r>
      <t>С</t>
    </r>
    <r>
      <rPr>
        <vertAlign val="subscript"/>
        <sz val="11"/>
        <color theme="1"/>
        <rFont val="Times New Roman"/>
        <family val="1"/>
        <charset val="204"/>
      </rPr>
      <t>и</t>
    </r>
    <r>
      <rPr>
        <sz val="11"/>
        <color theme="1"/>
        <rFont val="Times New Roman"/>
        <family val="1"/>
        <charset val="204"/>
      </rPr>
      <t>1</t>
    </r>
  </si>
  <si>
    <r>
      <t>С</t>
    </r>
    <r>
      <rPr>
        <vertAlign val="subscript"/>
        <sz val="11"/>
        <color theme="1"/>
        <rFont val="Times New Roman"/>
        <family val="1"/>
        <charset val="204"/>
      </rPr>
      <t>и</t>
    </r>
    <r>
      <rPr>
        <sz val="11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</si>
  <si>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1"/>
        <color theme="1"/>
        <rFont val="Times New Roman"/>
        <family val="1"/>
        <charset val="204"/>
      </rPr>
      <t>и</t>
    </r>
    <r>
      <rPr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</si>
  <si>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1"/>
        <color theme="1"/>
        <rFont val="Times New Roman"/>
        <family val="1"/>
        <charset val="204"/>
      </rPr>
      <t>и</t>
    </r>
    <r>
      <rPr>
        <sz val="11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</si>
  <si>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К</t>
    </r>
    <r>
      <rPr>
        <vertAlign val="subscript"/>
        <sz val="11"/>
        <color theme="1"/>
        <rFont val="Times New Roman"/>
        <family val="1"/>
        <charset val="204"/>
      </rPr>
      <t>и</t>
    </r>
    <r>
      <rPr>
        <sz val="11"/>
        <color theme="1"/>
        <rFont val="Times New Roman"/>
        <family val="1"/>
        <charset val="204"/>
      </rPr>
      <t>1</t>
    </r>
  </si>
  <si>
    <r>
      <t>К</t>
    </r>
    <r>
      <rPr>
        <vertAlign val="subscript"/>
        <sz val="11"/>
        <color theme="1"/>
        <rFont val="Times New Roman"/>
        <family val="1"/>
        <charset val="204"/>
      </rPr>
      <t>и</t>
    </r>
    <r>
      <rPr>
        <sz val="11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</si>
  <si>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К</t>
    </r>
    <r>
      <rPr>
        <vertAlign val="subscript"/>
        <sz val="11"/>
        <color theme="1"/>
        <rFont val="Times New Roman"/>
        <family val="1"/>
        <charset val="204"/>
      </rPr>
      <t>и</t>
    </r>
    <r>
      <rPr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</si>
  <si>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К</t>
    </r>
    <r>
      <rPr>
        <vertAlign val="subscript"/>
        <sz val="11"/>
        <color theme="1"/>
        <rFont val="Times New Roman"/>
        <family val="1"/>
        <charset val="204"/>
      </rPr>
      <t>и</t>
    </r>
    <r>
      <rPr>
        <sz val="11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</si>
  <si>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работа в дневные часы</t>
  </si>
  <si>
    <t>работа в ночные часы</t>
  </si>
  <si>
    <t xml:space="preserve">Работа в праздники </t>
  </si>
  <si>
    <t>Работа ночью в праздники</t>
  </si>
  <si>
    <t>кол-во часов дневных</t>
  </si>
  <si>
    <t>кол-во часов в праздники</t>
  </si>
  <si>
    <t>кол-во часов ночных</t>
  </si>
  <si>
    <t>Uб</t>
  </si>
  <si>
    <t>N п/п</t>
  </si>
  <si>
    <t>Базовые коэффициенты</t>
  </si>
  <si>
    <t>1.</t>
  </si>
  <si>
    <t>Пост охраны в составе одного работника с режимом работы 24 часа</t>
  </si>
  <si>
    <t>2.</t>
  </si>
  <si>
    <t>Пост охраны в составе одного работника с режимом работы 12 часов</t>
  </si>
  <si>
    <t>3.</t>
  </si>
  <si>
    <t>Пост охраны в составе одного работника с режимом работы, отличным от 24 и 12 часов. Не более 24 часов, не менее 3 часов</t>
  </si>
  <si>
    <t>По формуле:</t>
  </si>
  <si>
    <t>Uд1</t>
  </si>
  <si>
    <t>Uд2</t>
  </si>
  <si>
    <t>Uд3</t>
  </si>
  <si>
    <t>Uд4</t>
  </si>
  <si>
    <t>Uд5</t>
  </si>
  <si>
    <t>Дополнительные коэффициенты</t>
  </si>
  <si>
    <t>Наличие спецсредств у работника</t>
  </si>
  <si>
    <t>Наличие служебного оружия у работника</t>
  </si>
  <si>
    <t>Обеспечение порядка в местах проведения массовых мероприятий</t>
  </si>
  <si>
    <t>4.</t>
  </si>
  <si>
    <t>Охрана объектов и (или) имущества, а также обеспечение внутриобъектового и пропускного режимов на объектах, в отношении которых установлены обязательные для выполнения требования к антитеррористической защищенности</t>
  </si>
  <si>
    <t>5.</t>
  </si>
  <si>
    <t>Наличие допуска к государственной тайне работника и режимно-секретного подразделения</t>
  </si>
  <si>
    <t>При этом суммарное значение дополнительных коэффициентов не может превышать 0,35</t>
  </si>
  <si>
    <t>Uд</t>
  </si>
  <si>
    <t>страховые взносы, 30,2%</t>
  </si>
  <si>
    <t xml:space="preserve">Y </t>
  </si>
  <si>
    <t>СВ1</t>
  </si>
  <si>
    <t>кол-во ночных часов в праздники</t>
  </si>
  <si>
    <t>НДС</t>
  </si>
  <si>
    <t xml:space="preserve">Кол-во дней </t>
  </si>
  <si>
    <t>Всего дней</t>
  </si>
  <si>
    <t>Робочие дни</t>
  </si>
  <si>
    <t>Выходной</t>
  </si>
  <si>
    <t>Часы</t>
  </si>
  <si>
    <t>дневные</t>
  </si>
  <si>
    <t>ночные</t>
  </si>
  <si>
    <t>Кол-во часов</t>
  </si>
  <si>
    <t>Пост</t>
  </si>
  <si>
    <t>Си день</t>
  </si>
  <si>
    <t>НМЦК по посту</t>
  </si>
  <si>
    <t>Итого НМЦК</t>
  </si>
  <si>
    <t>Приложение №1</t>
  </si>
  <si>
    <t>базовая заработная плата работника (рублей/час)</t>
  </si>
  <si>
    <t>минимальный размер оплаты труда, установленный на дату расчета НМЦК</t>
  </si>
  <si>
    <t>среднемесячное количество рабочих часов одного работника поста охраны</t>
  </si>
  <si>
    <t>доплата за работу в ночное время</t>
  </si>
  <si>
    <t>резерв на отпуск</t>
  </si>
  <si>
    <t>СВ = (БЗП + Дн + Двп + Дрк + РО) * Y</t>
  </si>
  <si>
    <t>страховые взносы</t>
  </si>
  <si>
    <t xml:space="preserve">Косвенные расходы. Устанавливаются в размере 20% </t>
  </si>
  <si>
    <t>Прибыль</t>
  </si>
  <si>
    <t>Си = (БЗП + Дн + Двп + Дрк + РО + СВ) * U</t>
  </si>
  <si>
    <t>Расчет прямых затрат</t>
  </si>
  <si>
    <t>Резерв на отпуск</t>
  </si>
  <si>
    <t>U = Uб + Uд1 + Uд2 + Uд3 + Uд4 + Uд5</t>
  </si>
  <si>
    <t>Корректирующий коэффициент</t>
  </si>
  <si>
    <t>Стоимость выполнения работ по проектированию, монтажу и эксплуатационному обслуживанию технических средств охраны</t>
  </si>
  <si>
    <t>СТСО = Ср * Кр + Сп * Кп + Сэо * Кэо + См * Км + Со</t>
  </si>
  <si>
    <t>Ср</t>
  </si>
  <si>
    <t>Кр</t>
  </si>
  <si>
    <t>Услуги по реагированию</t>
  </si>
  <si>
    <t>Объем оказания услуг по реагированию</t>
  </si>
  <si>
    <t>Сп</t>
  </si>
  <si>
    <t>Работы по проектированию</t>
  </si>
  <si>
    <t>Кп</t>
  </si>
  <si>
    <t>Объем выполнения работ по проектированию</t>
  </si>
  <si>
    <t>Сэо</t>
  </si>
  <si>
    <t>Кэо</t>
  </si>
  <si>
    <t>См</t>
  </si>
  <si>
    <t>Км</t>
  </si>
  <si>
    <t>Со</t>
  </si>
  <si>
    <t>Сеу</t>
  </si>
  <si>
    <t>Кзж</t>
  </si>
  <si>
    <t>Сзж = Сеу * Кзж</t>
  </si>
  <si>
    <t>налог на добавленную стоимость  20%</t>
  </si>
  <si>
    <t>Услуги по эксплуатационному обслуживанию</t>
  </si>
  <si>
    <t>Объем оказания услуг по эксплуатационному обслуживанию</t>
  </si>
  <si>
    <t>Работы по монтажу</t>
  </si>
  <si>
    <t>Объем выполнения работ по монтажу</t>
  </si>
  <si>
    <t>Цена оборудования технических средств охраны, поставляемого заказчику</t>
  </si>
  <si>
    <t>Услуги по защите жизни и здоровья граждан</t>
  </si>
  <si>
    <t>Объем оказания услуг по защите жизни и здоровья граждан</t>
  </si>
  <si>
    <t>Стоимость оказания услуги по защите жизни и здоровья граждан</t>
  </si>
  <si>
    <r>
      <t>С</t>
    </r>
    <r>
      <rPr>
        <b/>
        <vertAlign val="subscript"/>
        <sz val="10"/>
        <color theme="1"/>
        <rFont val="Times New Roman"/>
        <family val="1"/>
        <charset val="204"/>
      </rPr>
      <t>ТСО</t>
    </r>
  </si>
  <si>
    <r>
      <t>С</t>
    </r>
    <r>
      <rPr>
        <b/>
        <vertAlign val="subscript"/>
        <sz val="10"/>
        <color theme="1"/>
        <rFont val="Times New Roman"/>
        <family val="1"/>
        <charset val="204"/>
      </rPr>
      <t>ЗЖ</t>
    </r>
  </si>
  <si>
    <r>
      <t>С</t>
    </r>
    <r>
      <rPr>
        <b/>
        <vertAlign val="subscript"/>
        <sz val="10"/>
        <color theme="1"/>
        <rFont val="Times New Roman"/>
        <family val="1"/>
        <charset val="204"/>
      </rPr>
      <t>ЕУ</t>
    </r>
  </si>
  <si>
    <r>
      <t>U</t>
    </r>
    <r>
      <rPr>
        <b/>
        <vertAlign val="subscript"/>
        <sz val="10"/>
        <color theme="1"/>
        <rFont val="Times New Roman"/>
        <family val="1"/>
        <charset val="204"/>
      </rPr>
      <t>б</t>
    </r>
  </si>
  <si>
    <r>
      <t>U</t>
    </r>
    <r>
      <rPr>
        <vertAlign val="subscript"/>
        <sz val="10"/>
        <color theme="1"/>
        <rFont val="Times New Roman"/>
        <family val="1"/>
        <charset val="204"/>
      </rPr>
      <t>б</t>
    </r>
    <r>
      <rPr>
        <sz val="10"/>
        <color theme="1"/>
        <rFont val="Times New Roman"/>
        <family val="1"/>
        <charset val="204"/>
      </rPr>
      <t xml:space="preserve"> = 2 - 0,0417 * Количество часов работы поста</t>
    </r>
  </si>
  <si>
    <t>Осуществлении закупок охранных услуг частных охранных организаций</t>
  </si>
  <si>
    <t>Кол-во дней охраны</t>
  </si>
  <si>
    <t>Консервативный вариант</t>
  </si>
  <si>
    <t>оценка</t>
  </si>
  <si>
    <t>Прогноз</t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</si>
  <si>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</si>
  <si>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</si>
  <si>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</si>
  <si>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</si>
  <si>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</si>
  <si>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</si>
  <si>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</si>
  <si>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</si>
  <si>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</si>
  <si>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</si>
  <si>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</si>
  <si>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r>
      <t xml:space="preserve">Показатели инфляции:
 • </t>
    </r>
    <r>
      <rPr>
        <b/>
        <u/>
        <sz val="11"/>
        <rFont val="Times New Roman"/>
        <family val="1"/>
        <charset val="204"/>
      </rPr>
      <t>потребительские цены (ИПЦ)</t>
    </r>
  </si>
  <si>
    <t xml:space="preserve">Формулы и значения используемые в расчете. </t>
  </si>
  <si>
    <t>Кол-во часов работы поста</t>
  </si>
  <si>
    <t>2021 год</t>
  </si>
  <si>
    <t>2022 год</t>
  </si>
  <si>
    <t>2023 год</t>
  </si>
  <si>
    <t>с 2021 по 2022 год</t>
  </si>
  <si>
    <t>с 2022 по 2023 год</t>
  </si>
  <si>
    <t xml:space="preserve">Годы осуществления охранных услуг. </t>
  </si>
  <si>
    <t>Праздииков в 2021</t>
  </si>
  <si>
    <t>Праздииков в 2022</t>
  </si>
  <si>
    <t>Праздииков в 2023</t>
  </si>
  <si>
    <t>Праздииков в 2024</t>
  </si>
  <si>
    <t>Праздииков в 2025</t>
  </si>
  <si>
    <t>Двп</t>
  </si>
  <si>
    <t>РО</t>
  </si>
  <si>
    <t>КР</t>
  </si>
  <si>
    <t>П</t>
  </si>
  <si>
    <t>Ки</t>
  </si>
  <si>
    <r>
      <t xml:space="preserve">Наименование </t>
    </r>
    <r>
      <rPr>
        <sz val="10"/>
        <color theme="1"/>
        <rFont val="Times New Roman"/>
        <family val="1"/>
        <charset val="204"/>
      </rPr>
      <t>товара (работы, услуги)</t>
    </r>
    <r>
      <rPr>
        <sz val="10"/>
        <color rgb="FF000000"/>
        <rFont val="Times New Roman"/>
        <family val="1"/>
        <charset val="204"/>
      </rPr>
      <t xml:space="preserve"> (позиция)</t>
    </r>
  </si>
  <si>
    <t>Единица измерения</t>
  </si>
  <si>
    <t>Цена 1</t>
  </si>
  <si>
    <t>Цена  2</t>
  </si>
  <si>
    <t>Цена 3</t>
  </si>
  <si>
    <t xml:space="preserve">Среднее значение цены единицы, руб. </t>
  </si>
  <si>
    <t>Среднее квадратичное отклонение (σ)</t>
  </si>
  <si>
    <t xml:space="preserve">Коэффициент вариации (%) (V) </t>
  </si>
  <si>
    <t>Однородность цен (ДА/НЕТ)</t>
  </si>
  <si>
    <t>Ср (Услуги по реагированию)</t>
  </si>
  <si>
    <t>Таблица 1 - Группа быстрого реагирования</t>
  </si>
  <si>
    <t>Кр (Объем оказания услуг по реагированию)</t>
  </si>
  <si>
    <t>Расчет Стсо</t>
  </si>
  <si>
    <t>Таблица 2 - Работы по проектированию</t>
  </si>
  <si>
    <t>Таблица 3 - Услуги по эксплуатационному обслуживанию</t>
  </si>
  <si>
    <t>вх. 275 от 10.09.2021</t>
  </si>
  <si>
    <t>вх. 276 от 10.09.2021</t>
  </si>
  <si>
    <t>вх. 277 от 10.09.2021</t>
  </si>
  <si>
    <t>Таблица 4 - Работы по монтажу</t>
  </si>
  <si>
    <t>Сп (Работы по проектированию)</t>
  </si>
  <si>
    <t>Кп (Объем выполнения работ по проектированию)</t>
  </si>
  <si>
    <t>Сэо (Услуги по эксплуатационному обслуживанию)</t>
  </si>
  <si>
    <t>Км (Объем выполнения работ по монтажу)</t>
  </si>
  <si>
    <t>См (Работы по монтажу)</t>
  </si>
  <si>
    <t>Кэо (Объем оказания услуг по эксплуатационному обслуживанию)</t>
  </si>
  <si>
    <t>В случае если срок действия контракта превышает срок прогноза, индекс потребительских цен для каждого года срока действия контракта, не указанного в прогнозе, принимается равным индексу потребительских цен, указанному для последнего года прогноза.
В случае если расчет НМЦК и начало срока действия контракта приходятся на один год, то для этого года срока действия контракта значение  принимается равным единице.</t>
  </si>
  <si>
    <t>Начальная (максимальная) цена контракта</t>
  </si>
  <si>
    <r>
      <t>I</t>
    </r>
    <r>
      <rPr>
        <vertAlign val="subscript"/>
        <sz val="10"/>
        <color rgb="FFFF0000"/>
        <rFont val="Times New Roman"/>
        <family val="1"/>
        <charset val="204"/>
      </rPr>
      <t>инфл</t>
    </r>
  </si>
  <si>
    <t>Минимальный размер оплаты труда, установленный на дату расчета НМЦК</t>
  </si>
  <si>
    <t>Доплата за работу в ночное время</t>
  </si>
  <si>
    <t>Доплата за работу в выходные и праздничные дни</t>
  </si>
  <si>
    <t>Чп</t>
  </si>
  <si>
    <t>G</t>
  </si>
  <si>
    <t>Кол-во постов охраны</t>
  </si>
  <si>
    <t xml:space="preserve">НДС </t>
  </si>
  <si>
    <t>Iинфл</t>
  </si>
  <si>
    <t>фот</t>
  </si>
  <si>
    <t>св</t>
  </si>
  <si>
    <t>рп</t>
  </si>
  <si>
    <t>рк</t>
  </si>
  <si>
    <t>п=</t>
  </si>
  <si>
    <t>скп</t>
  </si>
  <si>
    <t>ОТ</t>
  </si>
  <si>
    <t>Р77ФЗ</t>
  </si>
  <si>
    <t>Y</t>
  </si>
  <si>
    <t>Спч</t>
  </si>
  <si>
    <t>НМЦК</t>
  </si>
  <si>
    <t>Свохр (за 1 пост)</t>
  </si>
  <si>
    <t>Кпч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</si>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</sst>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00"/>
    <numFmt numFmtId="166" formatCode="0_)"/>
    <numFmt numFmtId="167" formatCode="0.0_)"/>
    <numFmt numFmtId="168" formatCode="#,##0.00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10"/>
      <name val="Courier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vertAlign val="subscript"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6" fontId="8" fillId="0" borderId="0"/>
    <xf numFmtId="9" fontId="20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/>
    <xf numFmtId="0" fontId="2" fillId="0" borderId="1" xfId="0" applyFont="1" applyBorder="1"/>
    <xf numFmtId="16" fontId="0" fillId="0" borderId="0" xfId="0" applyNumberFormat="1"/>
    <xf numFmtId="14" fontId="2" fillId="0" borderId="0" xfId="0" applyNumberFormat="1" applyFont="1" applyFill="1" applyBorder="1"/>
    <xf numFmtId="14" fontId="2" fillId="0" borderId="0" xfId="0" applyNumberFormat="1" applyFont="1"/>
    <xf numFmtId="0" fontId="4" fillId="0" borderId="0" xfId="0" applyFont="1"/>
    <xf numFmtId="4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0" xfId="0" applyFont="1" applyBorder="1" applyAlignment="1">
      <alignment horizontal="center"/>
    </xf>
    <xf numFmtId="0" fontId="4" fillId="5" borderId="11" xfId="0" applyFont="1" applyFill="1" applyBorder="1" applyAlignment="1">
      <alignment horizontal="left" vertical="center"/>
    </xf>
    <xf numFmtId="4" fontId="4" fillId="5" borderId="12" xfId="0" applyNumberFormat="1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4" fontId="4" fillId="5" borderId="1" xfId="0" applyNumberFormat="1" applyFont="1" applyFill="1" applyBorder="1" applyAlignment="1">
      <alignment horizontal="left" vertical="center"/>
    </xf>
    <xf numFmtId="4" fontId="4" fillId="5" borderId="1" xfId="0" quotePrefix="1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left" vertical="center"/>
    </xf>
    <xf numFmtId="0" fontId="4" fillId="5" borderId="38" xfId="0" applyFont="1" applyFill="1" applyBorder="1" applyAlignment="1">
      <alignment horizontal="left" vertical="center"/>
    </xf>
    <xf numFmtId="0" fontId="4" fillId="5" borderId="38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/>
    </xf>
    <xf numFmtId="4" fontId="4" fillId="5" borderId="16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6" fontId="10" fillId="0" borderId="1" xfId="1" applyFont="1" applyFill="1" applyBorder="1" applyAlignment="1" applyProtection="1">
      <alignment horizontal="center" vertical="center" wrapText="1"/>
      <protection locked="0"/>
    </xf>
    <xf numFmtId="166" fontId="10" fillId="0" borderId="39" xfId="1" applyFont="1" applyFill="1" applyBorder="1" applyAlignment="1" applyProtection="1">
      <alignment vertical="center" wrapText="1"/>
      <protection locked="0"/>
    </xf>
    <xf numFmtId="166" fontId="10" fillId="0" borderId="39" xfId="1" applyFont="1" applyFill="1" applyBorder="1" applyAlignment="1" applyProtection="1">
      <alignment horizontal="center" vertical="center" wrapText="1"/>
      <protection locked="0"/>
    </xf>
    <xf numFmtId="166" fontId="11" fillId="3" borderId="40" xfId="1" applyFont="1" applyFill="1" applyBorder="1" applyAlignment="1">
      <alignment horizontal="left" vertical="center" wrapText="1"/>
    </xf>
    <xf numFmtId="166" fontId="9" fillId="3" borderId="41" xfId="1" applyFont="1" applyFill="1" applyBorder="1" applyAlignment="1">
      <alignment horizontal="center"/>
    </xf>
    <xf numFmtId="166" fontId="9" fillId="3" borderId="5" xfId="1" applyFont="1" applyFill="1" applyBorder="1" applyAlignment="1"/>
    <xf numFmtId="166" fontId="9" fillId="0" borderId="40" xfId="1" applyFont="1" applyFill="1" applyBorder="1" applyAlignment="1">
      <alignment vertical="center"/>
    </xf>
    <xf numFmtId="167" fontId="10" fillId="0" borderId="42" xfId="1" applyNumberFormat="1" applyFont="1" applyFill="1" applyBorder="1" applyAlignment="1">
      <alignment horizontal="center" vertical="center"/>
    </xf>
    <xf numFmtId="167" fontId="10" fillId="0" borderId="0" xfId="1" applyNumberFormat="1" applyFont="1" applyFill="1" applyBorder="1" applyAlignment="1">
      <alignment horizontal="center" vertical="center"/>
    </xf>
    <xf numFmtId="166" fontId="9" fillId="0" borderId="28" xfId="1" applyFont="1" applyFill="1" applyBorder="1" applyAlignment="1">
      <alignment vertical="center"/>
    </xf>
    <xf numFmtId="167" fontId="10" fillId="0" borderId="28" xfId="1" applyNumberFormat="1" applyFont="1" applyFill="1" applyBorder="1" applyAlignment="1">
      <alignment horizontal="center" vertical="center"/>
    </xf>
    <xf numFmtId="167" fontId="10" fillId="0" borderId="43" xfId="1" applyNumberFormat="1" applyFont="1" applyFill="1" applyBorder="1" applyAlignment="1">
      <alignment horizontal="center" vertical="center"/>
    </xf>
    <xf numFmtId="167" fontId="10" fillId="0" borderId="7" xfId="1" applyNumberFormat="1" applyFont="1" applyFill="1" applyBorder="1" applyAlignment="1">
      <alignment horizontal="center" vertical="center"/>
    </xf>
    <xf numFmtId="167" fontId="10" fillId="0" borderId="8" xfId="1" applyNumberFormat="1" applyFont="1" applyFill="1" applyBorder="1" applyAlignment="1">
      <alignment horizontal="center" vertical="center"/>
    </xf>
    <xf numFmtId="166" fontId="11" fillId="3" borderId="40" xfId="1" applyFont="1" applyFill="1" applyBorder="1" applyAlignment="1">
      <alignment vertical="center" wrapText="1"/>
    </xf>
    <xf numFmtId="166" fontId="9" fillId="3" borderId="42" xfId="1" applyFont="1" applyFill="1" applyBorder="1" applyAlignment="1">
      <alignment horizontal="center"/>
    </xf>
    <xf numFmtId="166" fontId="9" fillId="3" borderId="0" xfId="1" applyFont="1" applyFill="1" applyBorder="1" applyAlignment="1">
      <alignment horizontal="center"/>
    </xf>
    <xf numFmtId="166" fontId="13" fillId="3" borderId="40" xfId="1" applyFont="1" applyFill="1" applyBorder="1" applyAlignment="1">
      <alignment vertical="center" wrapText="1"/>
    </xf>
    <xf numFmtId="167" fontId="9" fillId="0" borderId="0" xfId="1" applyNumberFormat="1" applyFont="1" applyFill="1" applyBorder="1" applyAlignment="1">
      <alignment horizontal="center" vertical="center"/>
    </xf>
    <xf numFmtId="167" fontId="9" fillId="0" borderId="40" xfId="1" applyNumberFormat="1" applyFont="1" applyFill="1" applyBorder="1" applyAlignment="1">
      <alignment horizontal="center" vertical="center"/>
    </xf>
    <xf numFmtId="167" fontId="9" fillId="0" borderId="8" xfId="1" applyNumberFormat="1" applyFont="1" applyFill="1" applyBorder="1" applyAlignment="1">
      <alignment horizontal="center" vertical="center"/>
    </xf>
    <xf numFmtId="167" fontId="9" fillId="0" borderId="28" xfId="1" applyNumberFormat="1" applyFont="1" applyFill="1" applyBorder="1" applyAlignment="1">
      <alignment horizontal="center" vertical="center"/>
    </xf>
    <xf numFmtId="167" fontId="10" fillId="6" borderId="0" xfId="1" applyNumberFormat="1" applyFont="1" applyFill="1" applyBorder="1" applyAlignment="1">
      <alignment horizontal="center" vertical="center"/>
    </xf>
    <xf numFmtId="0" fontId="4" fillId="4" borderId="44" xfId="0" applyFont="1" applyFill="1" applyBorder="1"/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5" borderId="26" xfId="0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0" fontId="14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34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" fontId="14" fillId="3" borderId="20" xfId="0" applyNumberFormat="1" applyFont="1" applyFill="1" applyBorder="1" applyAlignment="1">
      <alignment horizontal="center" vertic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29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/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21" fillId="5" borderId="13" xfId="0" applyFont="1" applyFill="1" applyBorder="1" applyAlignment="1">
      <alignment horizontal="left" vertical="center"/>
    </xf>
    <xf numFmtId="168" fontId="21" fillId="5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4" fillId="0" borderId="1" xfId="0" applyFont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left" vertical="center"/>
    </xf>
    <xf numFmtId="10" fontId="4" fillId="0" borderId="0" xfId="0" applyNumberFormat="1" applyFont="1"/>
    <xf numFmtId="10" fontId="5" fillId="5" borderId="1" xfId="2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left" vertical="center"/>
    </xf>
    <xf numFmtId="4" fontId="4" fillId="5" borderId="14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left" vertical="center"/>
    </xf>
    <xf numFmtId="4" fontId="4" fillId="5" borderId="3" xfId="0" applyNumberFormat="1" applyFont="1" applyFill="1" applyBorder="1" applyAlignment="1">
      <alignment horizontal="left" vertical="center"/>
    </xf>
    <xf numFmtId="4" fontId="4" fillId="5" borderId="34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34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35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0" fontId="4" fillId="5" borderId="31" xfId="0" applyFont="1" applyFill="1" applyBorder="1" applyAlignment="1">
      <alignment horizontal="left" vertical="center"/>
    </xf>
    <xf numFmtId="0" fontId="4" fillId="5" borderId="32" xfId="0" applyFont="1" applyFill="1" applyBorder="1" applyAlignment="1">
      <alignment horizontal="left" vertical="center"/>
    </xf>
    <xf numFmtId="0" fontId="4" fillId="5" borderId="33" xfId="0" applyFont="1" applyFill="1" applyBorder="1" applyAlignment="1">
      <alignment horizontal="left" vertical="center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34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168" fontId="23" fillId="5" borderId="1" xfId="0" applyNumberFormat="1" applyFont="1" applyFill="1" applyBorder="1" applyAlignment="1">
      <alignment horizontal="center" vertical="center"/>
    </xf>
    <xf numFmtId="166" fontId="9" fillId="0" borderId="4" xfId="1" applyFont="1" applyBorder="1" applyAlignment="1">
      <alignment horizontal="left" vertical="center"/>
    </xf>
    <xf numFmtId="166" fontId="9" fillId="0" borderId="7" xfId="1" applyFont="1" applyBorder="1" applyAlignment="1">
      <alignment horizontal="left" vertical="center"/>
    </xf>
    <xf numFmtId="166" fontId="10" fillId="0" borderId="2" xfId="1" applyFont="1" applyFill="1" applyBorder="1" applyAlignment="1" applyProtection="1">
      <alignment horizontal="center" vertical="center" wrapText="1"/>
      <protection locked="0"/>
    </xf>
    <xf numFmtId="166" fontId="10" fillId="0" borderId="3" xfId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4" xfId="1" xr:uid="{00000000-0005-0000-0000-000001000000}"/>
    <cellStyle name="Процентный" xfId="2" builtinId="5"/>
  </cellStyles>
  <dxfs count="16"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ont>
        <color rgb="FF9C0006"/>
      </font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ont>
        <color rgb="FF9C0006"/>
      </font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ont>
        <color rgb="FF9C0006"/>
      </font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ont>
        <color rgb="FF9C0006"/>
      </font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25</xdr:row>
      <xdr:rowOff>28576</xdr:rowOff>
    </xdr:from>
    <xdr:to>
      <xdr:col>1</xdr:col>
      <xdr:colOff>952500</xdr:colOff>
      <xdr:row>26</xdr:row>
      <xdr:rowOff>9526</xdr:rowOff>
    </xdr:to>
    <xdr:pic>
      <xdr:nvPicPr>
        <xdr:cNvPr id="2" name="Рисунок 1" descr="base_32851_383133_32771">
          <a:extLst>
            <a:ext uri="{FF2B5EF4-FFF2-40B4-BE49-F238E27FC236}">
              <a16:creationId xmlns:a16="http://schemas.microsoft.com/office/drawing/2014/main" id="{E4059AA5-EBDE-438A-8DB8-6B73602C874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419476"/>
          <a:ext cx="8953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30</xdr:row>
      <xdr:rowOff>9525</xdr:rowOff>
    </xdr:from>
    <xdr:to>
      <xdr:col>1</xdr:col>
      <xdr:colOff>2400300</xdr:colOff>
      <xdr:row>31</xdr:row>
      <xdr:rowOff>180975</xdr:rowOff>
    </xdr:to>
    <xdr:pic>
      <xdr:nvPicPr>
        <xdr:cNvPr id="3" name="Рисунок 2" descr="base_32851_383133_32772">
          <a:extLst>
            <a:ext uri="{FF2B5EF4-FFF2-40B4-BE49-F238E27FC236}">
              <a16:creationId xmlns:a16="http://schemas.microsoft.com/office/drawing/2014/main" id="{722DD108-AF49-4E8A-B368-21C0B7009B9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429250"/>
          <a:ext cx="2371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37</xdr:row>
      <xdr:rowOff>47625</xdr:rowOff>
    </xdr:from>
    <xdr:to>
      <xdr:col>1</xdr:col>
      <xdr:colOff>2038350</xdr:colOff>
      <xdr:row>37</xdr:row>
      <xdr:rowOff>333375</xdr:rowOff>
    </xdr:to>
    <xdr:pic>
      <xdr:nvPicPr>
        <xdr:cNvPr id="6" name="Рисунок 5" descr="base_32851_383133_32769">
          <a:extLst>
            <a:ext uri="{FF2B5EF4-FFF2-40B4-BE49-F238E27FC236}">
              <a16:creationId xmlns:a16="http://schemas.microsoft.com/office/drawing/2014/main" id="{ACF3BCC3-97B2-4D1C-8309-3B1B37E809D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429500"/>
          <a:ext cx="2028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2238375</xdr:colOff>
      <xdr:row>38</xdr:row>
      <xdr:rowOff>333375</xdr:rowOff>
    </xdr:to>
    <xdr:pic>
      <xdr:nvPicPr>
        <xdr:cNvPr id="7" name="Рисунок 6" descr="base_32851_383133_32770">
          <a:extLst>
            <a:ext uri="{FF2B5EF4-FFF2-40B4-BE49-F238E27FC236}">
              <a16:creationId xmlns:a16="http://schemas.microsoft.com/office/drawing/2014/main" id="{49A28ABA-53A3-46C0-ADDA-3FFB66D6311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"/>
          <a:ext cx="2238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40</xdr:row>
      <xdr:rowOff>19051</xdr:rowOff>
    </xdr:from>
    <xdr:to>
      <xdr:col>1</xdr:col>
      <xdr:colOff>1962150</xdr:colOff>
      <xdr:row>41</xdr:row>
      <xdr:rowOff>1</xdr:rowOff>
    </xdr:to>
    <xdr:pic>
      <xdr:nvPicPr>
        <xdr:cNvPr id="8" name="Рисунок 7" descr="base_32851_383133_32772">
          <a:extLst>
            <a:ext uri="{FF2B5EF4-FFF2-40B4-BE49-F238E27FC236}">
              <a16:creationId xmlns:a16="http://schemas.microsoft.com/office/drawing/2014/main" id="{9BE64343-CCF3-4737-8695-5F83A941516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34376"/>
          <a:ext cx="1962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36</xdr:row>
      <xdr:rowOff>67403</xdr:rowOff>
    </xdr:from>
    <xdr:to>
      <xdr:col>1</xdr:col>
      <xdr:colOff>2981325</xdr:colOff>
      <xdr:row>36</xdr:row>
      <xdr:rowOff>352425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32D5C94-AAF3-4D88-8F31-1F51879B7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8430353"/>
          <a:ext cx="2981325" cy="2850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1866900</xdr:colOff>
      <xdr:row>24</xdr:row>
      <xdr:rowOff>171451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A053592A-A400-48B2-833C-813F938FCE6F}"/>
            </a:ext>
          </a:extLst>
        </xdr:cNvPr>
        <xdr:cNvSpPr>
          <a:spLocks noChangeAspect="1" noChangeArrowheads="1"/>
        </xdr:cNvSpPr>
      </xdr:nvSpPr>
      <xdr:spPr bwMode="auto">
        <a:xfrm>
          <a:off x="0" y="3781424"/>
          <a:ext cx="1866900" cy="171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"/>
  <sheetViews>
    <sheetView showGridLines="0" tabSelected="1" topLeftCell="A4" zoomScaleNormal="100" workbookViewId="0">
      <selection activeCell="C28" sqref="C28"/>
    </sheetView>
  </sheetViews>
  <sheetFormatPr defaultRowHeight="12.75" outlineLevelRow="1" x14ac:dyDescent="0.2"/>
  <cols>
    <col min="1" max="1" width="9.140625" style="6"/>
    <col min="2" max="2" width="44.85546875" style="6" customWidth="1"/>
    <col min="3" max="3" width="10.7109375" style="6" customWidth="1"/>
    <col min="4" max="4" width="9.140625" style="6" customWidth="1"/>
    <col min="5" max="5" width="5.85546875" style="6" customWidth="1"/>
    <col min="6" max="6" width="6" style="6" bestFit="1" customWidth="1"/>
    <col min="7" max="7" width="5.5703125" style="7" customWidth="1"/>
    <col min="8" max="8" width="5.5703125" style="6" customWidth="1"/>
    <col min="9" max="10" width="5.7109375" style="6" customWidth="1"/>
    <col min="11" max="11" width="5.5703125" style="6" customWidth="1"/>
    <col min="12" max="12" width="7.5703125" style="6" customWidth="1"/>
    <col min="13" max="13" width="9.7109375" style="6" customWidth="1"/>
    <col min="14" max="14" width="9.28515625" style="6" bestFit="1" customWidth="1"/>
    <col min="15" max="15" width="11.42578125" style="6" customWidth="1"/>
    <col min="16" max="16384" width="9.140625" style="6"/>
  </cols>
  <sheetData>
    <row r="1" spans="1:15" x14ac:dyDescent="0.2">
      <c r="B1" s="6" t="s">
        <v>61</v>
      </c>
    </row>
    <row r="2" spans="1:15" ht="18.75" customHeight="1" x14ac:dyDescent="0.2">
      <c r="B2" s="136" t="s">
        <v>108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24" customHeight="1" x14ac:dyDescent="0.2">
      <c r="B3" s="66" t="s">
        <v>60</v>
      </c>
      <c r="C3" s="67">
        <f>ROUND((SUM(O12:O23)+B7+B9)*C36*C56,2)</f>
        <v>0</v>
      </c>
      <c r="G3" s="6"/>
      <c r="K3" s="9"/>
      <c r="L3" s="9"/>
      <c r="M3" s="9"/>
      <c r="N3" s="137"/>
      <c r="O3" s="137"/>
    </row>
    <row r="4" spans="1:15" ht="24" customHeight="1" x14ac:dyDescent="0.2">
      <c r="B4" s="8" t="s">
        <v>132</v>
      </c>
      <c r="C4" s="65" t="s">
        <v>128</v>
      </c>
      <c r="G4" s="6"/>
      <c r="K4" s="9"/>
      <c r="L4" s="9"/>
      <c r="M4" s="9"/>
      <c r="N4" s="11"/>
      <c r="O4" s="11"/>
    </row>
    <row r="5" spans="1:15" x14ac:dyDescent="0.2">
      <c r="B5" s="31" t="s">
        <v>109</v>
      </c>
      <c r="C5" s="69"/>
      <c r="G5" s="6"/>
    </row>
    <row r="6" spans="1:15" ht="14.25" x14ac:dyDescent="0.2">
      <c r="B6" s="71" t="s">
        <v>103</v>
      </c>
      <c r="C6" s="71" t="s">
        <v>90</v>
      </c>
      <c r="D6" s="92"/>
      <c r="E6" s="92"/>
      <c r="F6" s="92"/>
      <c r="G6" s="92"/>
      <c r="H6" s="92"/>
      <c r="I6" s="92"/>
      <c r="J6" s="92"/>
      <c r="K6" s="92"/>
    </row>
    <row r="7" spans="1:15" x14ac:dyDescent="0.2">
      <c r="B7" s="31">
        <f>'Расчет Стсо'!$G$6*'Расчет Стсо'!$C$6+'Расчет Стсо'!$G$12*'Расчет Стсо'!$C$12+'Расчет Стсо'!$C$18*'Расчет Стсо'!$G$18+'Расчет Стсо'!$C$24*'Расчет Стсо'!$G$24+C7</f>
        <v>0</v>
      </c>
      <c r="C7" s="70">
        <v>0</v>
      </c>
      <c r="D7" s="93"/>
      <c r="E7" s="93"/>
      <c r="F7" s="93"/>
      <c r="G7" s="93"/>
      <c r="H7" s="93"/>
      <c r="I7" s="93"/>
      <c r="J7" s="93"/>
      <c r="K7" s="94"/>
    </row>
    <row r="8" spans="1:15" ht="14.25" x14ac:dyDescent="0.2">
      <c r="B8" s="79" t="s">
        <v>104</v>
      </c>
      <c r="C8" s="71" t="s">
        <v>105</v>
      </c>
      <c r="D8" s="71" t="s">
        <v>92</v>
      </c>
      <c r="G8" s="6"/>
    </row>
    <row r="9" spans="1:15" ht="13.5" thickBot="1" x14ac:dyDescent="0.25">
      <c r="B9" s="77">
        <f>C9*D9</f>
        <v>0</v>
      </c>
      <c r="C9" s="77"/>
      <c r="D9" s="77"/>
      <c r="G9" s="6"/>
    </row>
    <row r="10" spans="1:15" ht="13.5" thickBot="1" x14ac:dyDescent="0.25">
      <c r="A10" s="119" t="s">
        <v>192</v>
      </c>
      <c r="B10" s="119" t="s">
        <v>57</v>
      </c>
      <c r="C10" s="146" t="s">
        <v>56</v>
      </c>
      <c r="D10" s="147"/>
      <c r="E10" s="157"/>
      <c r="F10" s="158"/>
      <c r="G10" s="158"/>
      <c r="H10" s="158"/>
      <c r="I10" s="158"/>
      <c r="J10" s="158"/>
      <c r="K10" s="158"/>
      <c r="L10" s="158"/>
      <c r="M10" s="158"/>
      <c r="N10" s="158"/>
      <c r="O10" s="147"/>
    </row>
    <row r="11" spans="1:15" ht="51.75" thickBot="1" x14ac:dyDescent="0.25">
      <c r="A11" s="120"/>
      <c r="B11" s="120"/>
      <c r="C11" s="78" t="s">
        <v>142</v>
      </c>
      <c r="D11" s="80" t="s">
        <v>126</v>
      </c>
      <c r="E11" s="12" t="s">
        <v>0</v>
      </c>
      <c r="F11" s="13" t="s">
        <v>19</v>
      </c>
      <c r="G11" s="13" t="s">
        <v>29</v>
      </c>
      <c r="H11" s="13" t="s">
        <v>30</v>
      </c>
      <c r="I11" s="13" t="s">
        <v>31</v>
      </c>
      <c r="J11" s="13" t="s">
        <v>32</v>
      </c>
      <c r="K11" s="14" t="s">
        <v>33</v>
      </c>
      <c r="L11" s="13" t="s">
        <v>58</v>
      </c>
      <c r="M11" s="13" t="s">
        <v>140</v>
      </c>
      <c r="N11" s="13" t="s">
        <v>141</v>
      </c>
      <c r="O11" s="15" t="s">
        <v>59</v>
      </c>
    </row>
    <row r="12" spans="1:15" ht="15" customHeight="1" x14ac:dyDescent="0.2">
      <c r="A12" s="87" t="s">
        <v>193</v>
      </c>
      <c r="B12" s="87"/>
      <c r="C12" s="89"/>
      <c r="D12" s="113"/>
      <c r="E12" s="109">
        <f t="shared" ref="E12" si="0">IF(SUM(G12:K12)&gt;0.35,F12+0.35,SUM(F12:K12))</f>
        <v>1.9746999999999999</v>
      </c>
      <c r="F12" s="109">
        <v>1.6247</v>
      </c>
      <c r="G12" s="110">
        <v>0.05</v>
      </c>
      <c r="H12" s="110">
        <v>0</v>
      </c>
      <c r="I12" s="110">
        <v>0.3</v>
      </c>
      <c r="J12" s="110">
        <v>0.1</v>
      </c>
      <c r="K12" s="110">
        <v>0</v>
      </c>
      <c r="L12" s="90">
        <f t="shared" ref="L12:L23" si="1">IF(D12=24,ROUND(($C$26+$C$32+$C$34+$C$29+$C$30)*E12,2),ROUND(($C$26+$D$32+$D$34)*E12,2))</f>
        <v>235.31</v>
      </c>
      <c r="M12" s="90">
        <f>ROUND((C12*L12)*0.2,2)</f>
        <v>0</v>
      </c>
      <c r="N12" s="90">
        <f>ROUND(((C12*L12)+M12)*0.05,2)</f>
        <v>0</v>
      </c>
      <c r="O12" s="91">
        <f>ROUND(((C12*L12)++M12+N12),2)</f>
        <v>0</v>
      </c>
    </row>
    <row r="13" spans="1:15" x14ac:dyDescent="0.2">
      <c r="A13" s="87" t="s">
        <v>194</v>
      </c>
      <c r="B13" s="88"/>
      <c r="C13" s="89"/>
      <c r="D13" s="113"/>
      <c r="E13" s="109">
        <f t="shared" ref="E13:E23" si="2">IF(SUM(G13:K13)&gt;0.35,F13+0.35,SUM(F13:K13))</f>
        <v>1.35</v>
      </c>
      <c r="F13" s="109">
        <v>1</v>
      </c>
      <c r="G13" s="110">
        <v>0.05</v>
      </c>
      <c r="H13" s="110">
        <v>0</v>
      </c>
      <c r="I13" s="110">
        <v>0.3</v>
      </c>
      <c r="J13" s="110">
        <v>0.1</v>
      </c>
      <c r="K13" s="110">
        <v>0</v>
      </c>
      <c r="L13" s="90">
        <f t="shared" si="1"/>
        <v>160.87</v>
      </c>
      <c r="M13" s="90">
        <f>ROUND((C13*L13)*0.2,2)</f>
        <v>0</v>
      </c>
      <c r="N13" s="90">
        <f>ROUND(((C13*L13)+M13)*0.05,2)</f>
        <v>0</v>
      </c>
      <c r="O13" s="91">
        <f>ROUND(((C13*L13)++M13+N13),2)</f>
        <v>0</v>
      </c>
    </row>
    <row r="14" spans="1:15" x14ac:dyDescent="0.2">
      <c r="A14" s="87" t="s">
        <v>195</v>
      </c>
      <c r="B14" s="68"/>
      <c r="C14" s="89"/>
      <c r="D14" s="113"/>
      <c r="E14" s="109">
        <f t="shared" si="2"/>
        <v>1.35</v>
      </c>
      <c r="F14" s="109">
        <v>1</v>
      </c>
      <c r="G14" s="110">
        <v>0.05</v>
      </c>
      <c r="H14" s="110">
        <v>0</v>
      </c>
      <c r="I14" s="110">
        <v>0.3</v>
      </c>
      <c r="J14" s="110">
        <v>0.1</v>
      </c>
      <c r="K14" s="110">
        <v>0</v>
      </c>
      <c r="L14" s="90">
        <f t="shared" si="1"/>
        <v>160.87</v>
      </c>
      <c r="M14" s="90">
        <f t="shared" ref="M14:M23" si="3">ROUND((C14*L14)*0.2,2)</f>
        <v>0</v>
      </c>
      <c r="N14" s="90">
        <f t="shared" ref="N14:N23" si="4">ROUND(((C14*L14)+M14)*0.05,2)</f>
        <v>0</v>
      </c>
      <c r="O14" s="91">
        <f t="shared" ref="O14:O23" si="5">ROUND(((C14*L14)++M14+N14),2)</f>
        <v>0</v>
      </c>
    </row>
    <row r="15" spans="1:15" x14ac:dyDescent="0.2">
      <c r="A15" s="87" t="s">
        <v>196</v>
      </c>
      <c r="B15" s="68"/>
      <c r="C15" s="89"/>
      <c r="D15" s="113"/>
      <c r="E15" s="109">
        <f t="shared" si="2"/>
        <v>1.35</v>
      </c>
      <c r="F15" s="109">
        <v>1</v>
      </c>
      <c r="G15" s="110">
        <v>0.05</v>
      </c>
      <c r="H15" s="110">
        <v>0</v>
      </c>
      <c r="I15" s="110">
        <v>0.3</v>
      </c>
      <c r="J15" s="110">
        <v>0.1</v>
      </c>
      <c r="K15" s="110">
        <v>0</v>
      </c>
      <c r="L15" s="90">
        <f t="shared" si="1"/>
        <v>160.87</v>
      </c>
      <c r="M15" s="90">
        <f t="shared" si="3"/>
        <v>0</v>
      </c>
      <c r="N15" s="90">
        <f t="shared" si="4"/>
        <v>0</v>
      </c>
      <c r="O15" s="91">
        <f t="shared" si="5"/>
        <v>0</v>
      </c>
    </row>
    <row r="16" spans="1:15" x14ac:dyDescent="0.2">
      <c r="A16" s="87" t="s">
        <v>197</v>
      </c>
      <c r="B16" s="16"/>
      <c r="C16" s="89"/>
      <c r="D16" s="113"/>
      <c r="E16" s="109">
        <f t="shared" si="2"/>
        <v>1.35</v>
      </c>
      <c r="F16" s="109">
        <v>1</v>
      </c>
      <c r="G16" s="110">
        <v>0.05</v>
      </c>
      <c r="H16" s="110">
        <v>0</v>
      </c>
      <c r="I16" s="110">
        <v>0.3</v>
      </c>
      <c r="J16" s="110">
        <v>0.1</v>
      </c>
      <c r="K16" s="110">
        <v>0</v>
      </c>
      <c r="L16" s="90">
        <f t="shared" si="1"/>
        <v>160.87</v>
      </c>
      <c r="M16" s="90">
        <f t="shared" si="3"/>
        <v>0</v>
      </c>
      <c r="N16" s="90">
        <f t="shared" si="4"/>
        <v>0</v>
      </c>
      <c r="O16" s="91">
        <f t="shared" si="5"/>
        <v>0</v>
      </c>
    </row>
    <row r="17" spans="1:15" x14ac:dyDescent="0.2">
      <c r="A17" s="87" t="s">
        <v>198</v>
      </c>
      <c r="B17" s="16"/>
      <c r="C17" s="89"/>
      <c r="D17" s="113"/>
      <c r="E17" s="109">
        <f t="shared" si="2"/>
        <v>1.35</v>
      </c>
      <c r="F17" s="109">
        <v>1</v>
      </c>
      <c r="G17" s="110">
        <v>0.05</v>
      </c>
      <c r="H17" s="110">
        <v>0</v>
      </c>
      <c r="I17" s="110">
        <v>0.3</v>
      </c>
      <c r="J17" s="110">
        <v>0.1</v>
      </c>
      <c r="K17" s="110">
        <v>0</v>
      </c>
      <c r="L17" s="90">
        <f t="shared" si="1"/>
        <v>160.87</v>
      </c>
      <c r="M17" s="90">
        <f t="shared" si="3"/>
        <v>0</v>
      </c>
      <c r="N17" s="90">
        <f t="shared" si="4"/>
        <v>0</v>
      </c>
      <c r="O17" s="91">
        <f t="shared" si="5"/>
        <v>0</v>
      </c>
    </row>
    <row r="18" spans="1:15" x14ac:dyDescent="0.2">
      <c r="A18" s="87" t="s">
        <v>199</v>
      </c>
      <c r="B18" s="16"/>
      <c r="C18" s="89"/>
      <c r="D18" s="113"/>
      <c r="E18" s="109">
        <f t="shared" si="2"/>
        <v>1.35</v>
      </c>
      <c r="F18" s="109">
        <v>1</v>
      </c>
      <c r="G18" s="110">
        <v>0.05</v>
      </c>
      <c r="H18" s="110">
        <v>0</v>
      </c>
      <c r="I18" s="110">
        <v>0.3</v>
      </c>
      <c r="J18" s="110">
        <v>0.1</v>
      </c>
      <c r="K18" s="110">
        <v>0</v>
      </c>
      <c r="L18" s="90">
        <f t="shared" si="1"/>
        <v>160.87</v>
      </c>
      <c r="M18" s="90">
        <f t="shared" si="3"/>
        <v>0</v>
      </c>
      <c r="N18" s="90">
        <f t="shared" si="4"/>
        <v>0</v>
      </c>
      <c r="O18" s="91">
        <f t="shared" si="5"/>
        <v>0</v>
      </c>
    </row>
    <row r="19" spans="1:15" x14ac:dyDescent="0.2">
      <c r="A19" s="87" t="s">
        <v>200</v>
      </c>
      <c r="B19" s="16"/>
      <c r="C19" s="89"/>
      <c r="D19" s="113"/>
      <c r="E19" s="109">
        <f t="shared" si="2"/>
        <v>1.35</v>
      </c>
      <c r="F19" s="109">
        <v>1</v>
      </c>
      <c r="G19" s="110">
        <v>0.05</v>
      </c>
      <c r="H19" s="110">
        <v>0</v>
      </c>
      <c r="I19" s="110">
        <v>0.3</v>
      </c>
      <c r="J19" s="110">
        <v>0.1</v>
      </c>
      <c r="K19" s="110">
        <v>0</v>
      </c>
      <c r="L19" s="90">
        <f t="shared" si="1"/>
        <v>160.87</v>
      </c>
      <c r="M19" s="90">
        <f t="shared" si="3"/>
        <v>0</v>
      </c>
      <c r="N19" s="90">
        <f t="shared" si="4"/>
        <v>0</v>
      </c>
      <c r="O19" s="91">
        <f t="shared" si="5"/>
        <v>0</v>
      </c>
    </row>
    <row r="20" spans="1:15" x14ac:dyDescent="0.2">
      <c r="A20" s="87" t="s">
        <v>201</v>
      </c>
      <c r="B20" s="16"/>
      <c r="C20" s="89"/>
      <c r="D20" s="113"/>
      <c r="E20" s="109">
        <f t="shared" si="2"/>
        <v>1.35</v>
      </c>
      <c r="F20" s="109">
        <v>1</v>
      </c>
      <c r="G20" s="110">
        <v>0.05</v>
      </c>
      <c r="H20" s="110">
        <v>0</v>
      </c>
      <c r="I20" s="110">
        <v>0.3</v>
      </c>
      <c r="J20" s="110">
        <v>0.1</v>
      </c>
      <c r="K20" s="110">
        <v>0</v>
      </c>
      <c r="L20" s="90">
        <f t="shared" si="1"/>
        <v>160.87</v>
      </c>
      <c r="M20" s="90">
        <f t="shared" si="3"/>
        <v>0</v>
      </c>
      <c r="N20" s="90">
        <f t="shared" si="4"/>
        <v>0</v>
      </c>
      <c r="O20" s="91">
        <f t="shared" si="5"/>
        <v>0</v>
      </c>
    </row>
    <row r="21" spans="1:15" x14ac:dyDescent="0.2">
      <c r="A21" s="87" t="s">
        <v>202</v>
      </c>
      <c r="B21" s="16"/>
      <c r="C21" s="89"/>
      <c r="D21" s="113"/>
      <c r="E21" s="109">
        <f t="shared" si="2"/>
        <v>1.35</v>
      </c>
      <c r="F21" s="109">
        <v>1</v>
      </c>
      <c r="G21" s="110">
        <v>0.05</v>
      </c>
      <c r="H21" s="110">
        <v>0</v>
      </c>
      <c r="I21" s="110">
        <v>0.3</v>
      </c>
      <c r="J21" s="110">
        <v>0.1</v>
      </c>
      <c r="K21" s="110">
        <v>0</v>
      </c>
      <c r="L21" s="90">
        <f t="shared" si="1"/>
        <v>160.87</v>
      </c>
      <c r="M21" s="90">
        <f t="shared" si="3"/>
        <v>0</v>
      </c>
      <c r="N21" s="90">
        <f t="shared" si="4"/>
        <v>0</v>
      </c>
      <c r="O21" s="91">
        <f t="shared" si="5"/>
        <v>0</v>
      </c>
    </row>
    <row r="22" spans="1:15" x14ac:dyDescent="0.2">
      <c r="A22" s="87" t="s">
        <v>203</v>
      </c>
      <c r="B22" s="16"/>
      <c r="C22" s="89"/>
      <c r="D22" s="113"/>
      <c r="E22" s="109">
        <f t="shared" si="2"/>
        <v>1.35</v>
      </c>
      <c r="F22" s="109">
        <v>1</v>
      </c>
      <c r="G22" s="110">
        <v>0.05</v>
      </c>
      <c r="H22" s="110">
        <v>0</v>
      </c>
      <c r="I22" s="110">
        <v>0.3</v>
      </c>
      <c r="J22" s="110">
        <v>0.1</v>
      </c>
      <c r="K22" s="110">
        <v>0</v>
      </c>
      <c r="L22" s="90">
        <f t="shared" si="1"/>
        <v>160.87</v>
      </c>
      <c r="M22" s="90">
        <f t="shared" si="3"/>
        <v>0</v>
      </c>
      <c r="N22" s="90">
        <f t="shared" si="4"/>
        <v>0</v>
      </c>
      <c r="O22" s="91">
        <f t="shared" si="5"/>
        <v>0</v>
      </c>
    </row>
    <row r="23" spans="1:15" x14ac:dyDescent="0.2">
      <c r="A23" s="87" t="s">
        <v>204</v>
      </c>
      <c r="B23" s="16"/>
      <c r="C23" s="89"/>
      <c r="D23" s="113"/>
      <c r="E23" s="109">
        <f t="shared" si="2"/>
        <v>1.35</v>
      </c>
      <c r="F23" s="109">
        <v>1</v>
      </c>
      <c r="G23" s="110">
        <v>0.05</v>
      </c>
      <c r="H23" s="110">
        <v>0</v>
      </c>
      <c r="I23" s="110">
        <v>0.3</v>
      </c>
      <c r="J23" s="110">
        <v>0.1</v>
      </c>
      <c r="K23" s="110">
        <v>0</v>
      </c>
      <c r="L23" s="90">
        <f t="shared" si="1"/>
        <v>160.87</v>
      </c>
      <c r="M23" s="90">
        <f t="shared" si="3"/>
        <v>0</v>
      </c>
      <c r="N23" s="90">
        <f t="shared" si="4"/>
        <v>0</v>
      </c>
      <c r="O23" s="91">
        <f t="shared" si="5"/>
        <v>0</v>
      </c>
    </row>
    <row r="24" spans="1:15" ht="13.5" thickBot="1" x14ac:dyDescent="0.25">
      <c r="B24" s="149"/>
      <c r="C24" s="150"/>
      <c r="D24" s="150"/>
      <c r="G24" s="6"/>
    </row>
    <row r="25" spans="1:15" ht="13.5" thickBot="1" x14ac:dyDescent="0.25">
      <c r="B25" s="64" t="s">
        <v>125</v>
      </c>
      <c r="C25" s="17"/>
      <c r="D25" s="17"/>
      <c r="G25" s="6"/>
    </row>
    <row r="26" spans="1:15" ht="28.5" customHeight="1" outlineLevel="1" x14ac:dyDescent="0.2">
      <c r="B26" s="18"/>
      <c r="C26" s="19">
        <f>ROUND(C27/C28,2)</f>
        <v>84.48</v>
      </c>
      <c r="D26" s="170" t="s">
        <v>62</v>
      </c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2"/>
    </row>
    <row r="27" spans="1:15" ht="23.25" customHeight="1" outlineLevel="1" x14ac:dyDescent="0.2">
      <c r="B27" s="20" t="s">
        <v>1</v>
      </c>
      <c r="C27" s="21">
        <v>13890</v>
      </c>
      <c r="D27" s="151" t="s">
        <v>63</v>
      </c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3"/>
    </row>
    <row r="28" spans="1:15" outlineLevel="1" x14ac:dyDescent="0.2">
      <c r="B28" s="20" t="s">
        <v>2</v>
      </c>
      <c r="C28" s="21">
        <f>1973/12</f>
        <v>164.41666666666666</v>
      </c>
      <c r="D28" s="151" t="s">
        <v>64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3"/>
    </row>
    <row r="29" spans="1:15" outlineLevel="1" x14ac:dyDescent="0.2">
      <c r="B29" s="76" t="s">
        <v>138</v>
      </c>
      <c r="C29" s="72">
        <f>ROUND(C26*14/365,2)</f>
        <v>3.24</v>
      </c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5"/>
    </row>
    <row r="30" spans="1:15" outlineLevel="1" x14ac:dyDescent="0.2">
      <c r="B30" s="20" t="s">
        <v>3</v>
      </c>
      <c r="C30" s="21">
        <f>ROUND(C26*0.2/3,2)</f>
        <v>5.63</v>
      </c>
      <c r="D30" s="22"/>
      <c r="E30" s="162" t="s">
        <v>65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63"/>
    </row>
    <row r="31" spans="1:15" outlineLevel="1" x14ac:dyDescent="0.2">
      <c r="B31" s="148"/>
      <c r="C31" s="23" t="s">
        <v>139</v>
      </c>
      <c r="D31" s="23"/>
      <c r="E31" s="162" t="s">
        <v>66</v>
      </c>
      <c r="F31" s="162"/>
      <c r="G31" s="162"/>
      <c r="H31" s="162"/>
      <c r="I31" s="162"/>
      <c r="J31" s="162"/>
      <c r="K31" s="162"/>
      <c r="L31" s="162"/>
      <c r="M31" s="162"/>
      <c r="N31" s="162"/>
      <c r="O31" s="163"/>
    </row>
    <row r="32" spans="1:15" outlineLevel="1" x14ac:dyDescent="0.2">
      <c r="B32" s="148"/>
      <c r="C32" s="21">
        <f>ROUND((C26+C29+C30)/12,2)</f>
        <v>7.78</v>
      </c>
      <c r="D32" s="21">
        <f>ROUND((C26)/12,2)</f>
        <v>7.04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3"/>
    </row>
    <row r="33" spans="2:15" outlineLevel="1" x14ac:dyDescent="0.2">
      <c r="B33" s="148" t="s">
        <v>67</v>
      </c>
      <c r="C33" s="21" t="s">
        <v>46</v>
      </c>
      <c r="D33" s="21"/>
      <c r="E33" s="164" t="s">
        <v>68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6"/>
    </row>
    <row r="34" spans="2:15" outlineLevel="1" x14ac:dyDescent="0.2">
      <c r="B34" s="148"/>
      <c r="C34" s="21">
        <f>ROUND((C26+C32+C30+C29)*C35,2)</f>
        <v>30.54</v>
      </c>
      <c r="D34" s="21">
        <f>ROUND((C26+D32)*C35,2)</f>
        <v>27.64</v>
      </c>
      <c r="E34" s="167"/>
      <c r="F34" s="168"/>
      <c r="G34" s="168"/>
      <c r="H34" s="168"/>
      <c r="I34" s="168"/>
      <c r="J34" s="168"/>
      <c r="K34" s="168"/>
      <c r="L34" s="168"/>
      <c r="M34" s="168"/>
      <c r="N34" s="168"/>
      <c r="O34" s="169"/>
    </row>
    <row r="35" spans="2:15" outlineLevel="1" x14ac:dyDescent="0.2">
      <c r="B35" s="20" t="s">
        <v>45</v>
      </c>
      <c r="C35" s="24">
        <v>0.30199999999999999</v>
      </c>
      <c r="D35" s="151" t="s">
        <v>44</v>
      </c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3"/>
    </row>
    <row r="36" spans="2:15" ht="71.25" customHeight="1" outlineLevel="1" x14ac:dyDescent="0.2">
      <c r="B36" s="98" t="s">
        <v>170</v>
      </c>
      <c r="C36" s="99">
        <v>1</v>
      </c>
      <c r="D36" s="173" t="s">
        <v>168</v>
      </c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5"/>
    </row>
    <row r="37" spans="2:15" ht="30.75" customHeight="1" outlineLevel="1" x14ac:dyDescent="0.2">
      <c r="B37" s="25"/>
      <c r="C37" s="123" t="s">
        <v>169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/>
    </row>
    <row r="38" spans="2:15" ht="29.25" customHeight="1" outlineLevel="1" x14ac:dyDescent="0.2">
      <c r="B38" s="25"/>
      <c r="C38" s="123" t="s">
        <v>69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4"/>
    </row>
    <row r="39" spans="2:15" ht="27" customHeight="1" outlineLevel="1" x14ac:dyDescent="0.2">
      <c r="B39" s="25"/>
      <c r="C39" s="123" t="s">
        <v>70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</row>
    <row r="40" spans="2:15" ht="17.25" customHeight="1" outlineLevel="1" x14ac:dyDescent="0.2">
      <c r="B40" s="25" t="s">
        <v>71</v>
      </c>
      <c r="C40" s="123" t="s">
        <v>72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4"/>
    </row>
    <row r="41" spans="2:15" ht="36" customHeight="1" outlineLevel="1" x14ac:dyDescent="0.2">
      <c r="B41" s="25"/>
      <c r="C41" s="123" t="s">
        <v>73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4"/>
    </row>
    <row r="42" spans="2:15" ht="17.25" customHeight="1" outlineLevel="1" x14ac:dyDescent="0.2">
      <c r="B42" s="25" t="s">
        <v>74</v>
      </c>
      <c r="C42" s="123" t="s">
        <v>75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4"/>
    </row>
    <row r="43" spans="2:15" ht="28.5" customHeight="1" outlineLevel="1" x14ac:dyDescent="0.2">
      <c r="B43" s="26" t="s">
        <v>77</v>
      </c>
      <c r="C43" s="123" t="s">
        <v>76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4"/>
    </row>
    <row r="44" spans="2:15" ht="17.25" customHeight="1" outlineLevel="1" x14ac:dyDescent="0.2">
      <c r="B44" s="25" t="s">
        <v>78</v>
      </c>
      <c r="C44" s="123" t="s">
        <v>80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</row>
    <row r="45" spans="2:15" ht="17.25" customHeight="1" outlineLevel="1" x14ac:dyDescent="0.2">
      <c r="B45" s="25" t="s">
        <v>79</v>
      </c>
      <c r="C45" s="123" t="s">
        <v>81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4"/>
    </row>
    <row r="46" spans="2:15" ht="17.25" customHeight="1" outlineLevel="1" x14ac:dyDescent="0.2">
      <c r="B46" s="25" t="s">
        <v>82</v>
      </c>
      <c r="C46" s="123" t="s">
        <v>83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4"/>
    </row>
    <row r="47" spans="2:15" ht="17.25" customHeight="1" outlineLevel="1" x14ac:dyDescent="0.2">
      <c r="B47" s="25" t="s">
        <v>84</v>
      </c>
      <c r="C47" s="123" t="s">
        <v>85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4"/>
    </row>
    <row r="48" spans="2:15" ht="17.25" customHeight="1" outlineLevel="1" x14ac:dyDescent="0.2">
      <c r="B48" s="25" t="s">
        <v>86</v>
      </c>
      <c r="C48" s="123" t="s">
        <v>95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4"/>
    </row>
    <row r="49" spans="2:15" ht="17.25" customHeight="1" outlineLevel="1" x14ac:dyDescent="0.2">
      <c r="B49" s="25" t="s">
        <v>87</v>
      </c>
      <c r="C49" s="123" t="s">
        <v>96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4"/>
    </row>
    <row r="50" spans="2:15" ht="17.25" customHeight="1" outlineLevel="1" x14ac:dyDescent="0.2">
      <c r="B50" s="25" t="s">
        <v>88</v>
      </c>
      <c r="C50" s="123" t="s">
        <v>97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4"/>
    </row>
    <row r="51" spans="2:15" ht="17.25" customHeight="1" outlineLevel="1" x14ac:dyDescent="0.2">
      <c r="B51" s="25" t="s">
        <v>89</v>
      </c>
      <c r="C51" s="123" t="s">
        <v>98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4"/>
    </row>
    <row r="52" spans="2:15" ht="17.25" customHeight="1" outlineLevel="1" x14ac:dyDescent="0.2">
      <c r="B52" s="25" t="s">
        <v>90</v>
      </c>
      <c r="C52" s="123" t="s">
        <v>99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4"/>
    </row>
    <row r="53" spans="2:15" ht="17.25" customHeight="1" outlineLevel="1" x14ac:dyDescent="0.2">
      <c r="B53" s="25" t="s">
        <v>91</v>
      </c>
      <c r="C53" s="127" t="s">
        <v>100</v>
      </c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9"/>
    </row>
    <row r="54" spans="2:15" ht="17.25" customHeight="1" outlineLevel="1" x14ac:dyDescent="0.2">
      <c r="B54" s="25" t="s">
        <v>92</v>
      </c>
      <c r="C54" s="123" t="s">
        <v>101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4"/>
    </row>
    <row r="55" spans="2:15" ht="17.25" customHeight="1" outlineLevel="1" x14ac:dyDescent="0.2">
      <c r="B55" s="25" t="s">
        <v>93</v>
      </c>
      <c r="C55" s="123" t="s">
        <v>102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  <row r="56" spans="2:15" ht="13.5" outlineLevel="1" thickBot="1" x14ac:dyDescent="0.25">
      <c r="B56" s="27" t="s">
        <v>48</v>
      </c>
      <c r="C56" s="28">
        <v>1.2</v>
      </c>
      <c r="D56" s="154" t="s">
        <v>94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6"/>
    </row>
    <row r="57" spans="2:15" ht="13.5" thickBot="1" x14ac:dyDescent="0.25">
      <c r="G57" s="6"/>
    </row>
    <row r="58" spans="2:15" ht="15.75" customHeight="1" thickBot="1" x14ac:dyDescent="0.25">
      <c r="B58" s="140" t="s">
        <v>21</v>
      </c>
      <c r="C58" s="141"/>
      <c r="D58" s="141"/>
      <c r="E58" s="142" t="s">
        <v>106</v>
      </c>
      <c r="F58" s="143"/>
      <c r="G58" s="143"/>
      <c r="H58" s="143"/>
      <c r="I58" s="143"/>
      <c r="J58" s="55"/>
    </row>
    <row r="59" spans="2:15" ht="13.5" customHeight="1" x14ac:dyDescent="0.2">
      <c r="B59" s="138" t="s">
        <v>23</v>
      </c>
      <c r="C59" s="139"/>
      <c r="D59" s="139"/>
      <c r="E59" s="144">
        <v>1</v>
      </c>
      <c r="F59" s="145"/>
      <c r="G59" s="145"/>
      <c r="H59" s="145"/>
      <c r="I59" s="145"/>
      <c r="J59" s="56" t="s">
        <v>19</v>
      </c>
    </row>
    <row r="60" spans="2:15" ht="12.75" customHeight="1" x14ac:dyDescent="0.2">
      <c r="B60" s="130" t="s">
        <v>25</v>
      </c>
      <c r="C60" s="131"/>
      <c r="D60" s="131"/>
      <c r="E60" s="134">
        <v>1.5</v>
      </c>
      <c r="F60" s="135"/>
      <c r="G60" s="135"/>
      <c r="H60" s="135"/>
      <c r="I60" s="135"/>
      <c r="J60" s="56" t="s">
        <v>19</v>
      </c>
    </row>
    <row r="61" spans="2:15" ht="15.75" customHeight="1" x14ac:dyDescent="0.2">
      <c r="B61" s="130" t="s">
        <v>27</v>
      </c>
      <c r="C61" s="131"/>
      <c r="D61" s="131"/>
      <c r="E61" s="134" t="s">
        <v>28</v>
      </c>
      <c r="F61" s="135"/>
      <c r="G61" s="135"/>
      <c r="H61" s="135"/>
      <c r="I61" s="135"/>
      <c r="J61" s="56" t="s">
        <v>19</v>
      </c>
    </row>
    <row r="62" spans="2:15" ht="32.25" customHeight="1" thickBot="1" x14ac:dyDescent="0.25">
      <c r="B62" s="132"/>
      <c r="C62" s="133"/>
      <c r="D62" s="133"/>
      <c r="E62" s="125" t="s">
        <v>107</v>
      </c>
      <c r="F62" s="125"/>
      <c r="G62" s="125"/>
      <c r="H62" s="125"/>
      <c r="I62" s="126"/>
      <c r="J62" s="57" t="s">
        <v>19</v>
      </c>
    </row>
    <row r="63" spans="2:15" ht="13.5" thickBot="1" x14ac:dyDescent="0.25"/>
    <row r="64" spans="2:15" s="29" customFormat="1" ht="15.75" customHeight="1" thickBot="1" x14ac:dyDescent="0.25">
      <c r="B64" s="159" t="s">
        <v>34</v>
      </c>
      <c r="C64" s="160"/>
      <c r="D64" s="161"/>
      <c r="E64" s="121" t="s">
        <v>43</v>
      </c>
      <c r="F64" s="122"/>
      <c r="G64" s="7"/>
    </row>
    <row r="65" spans="2:7" s="30" customFormat="1" ht="17.25" customHeight="1" x14ac:dyDescent="0.25">
      <c r="B65" s="138" t="s">
        <v>35</v>
      </c>
      <c r="C65" s="139"/>
      <c r="D65" s="139"/>
      <c r="E65" s="58">
        <v>0.05</v>
      </c>
      <c r="F65" s="63" t="s">
        <v>29</v>
      </c>
      <c r="G65" s="10"/>
    </row>
    <row r="66" spans="2:7" s="30" customFormat="1" ht="19.5" customHeight="1" x14ac:dyDescent="0.25">
      <c r="B66" s="130" t="s">
        <v>36</v>
      </c>
      <c r="C66" s="131"/>
      <c r="D66" s="131"/>
      <c r="E66" s="59">
        <v>0.2</v>
      </c>
      <c r="F66" s="61" t="s">
        <v>30</v>
      </c>
      <c r="G66" s="10"/>
    </row>
    <row r="67" spans="2:7" s="30" customFormat="1" ht="23.25" customHeight="1" x14ac:dyDescent="0.25">
      <c r="B67" s="130" t="s">
        <v>37</v>
      </c>
      <c r="C67" s="131"/>
      <c r="D67" s="131"/>
      <c r="E67" s="59">
        <v>0.3</v>
      </c>
      <c r="F67" s="61" t="s">
        <v>31</v>
      </c>
      <c r="G67" s="10"/>
    </row>
    <row r="68" spans="2:7" s="30" customFormat="1" ht="55.5" customHeight="1" x14ac:dyDescent="0.25">
      <c r="B68" s="130" t="s">
        <v>39</v>
      </c>
      <c r="C68" s="131"/>
      <c r="D68" s="131"/>
      <c r="E68" s="59">
        <v>0.1</v>
      </c>
      <c r="F68" s="61" t="s">
        <v>32</v>
      </c>
      <c r="G68" s="10"/>
    </row>
    <row r="69" spans="2:7" s="30" customFormat="1" ht="31.5" customHeight="1" thickBot="1" x14ac:dyDescent="0.3">
      <c r="B69" s="132" t="s">
        <v>41</v>
      </c>
      <c r="C69" s="133"/>
      <c r="D69" s="133"/>
      <c r="E69" s="60">
        <v>0.05</v>
      </c>
      <c r="F69" s="62" t="s">
        <v>33</v>
      </c>
      <c r="G69" s="10"/>
    </row>
  </sheetData>
  <dataConsolidate/>
  <mergeCells count="53">
    <mergeCell ref="C39:O39"/>
    <mergeCell ref="C40:O40"/>
    <mergeCell ref="C41:O41"/>
    <mergeCell ref="C42:O42"/>
    <mergeCell ref="C43:O43"/>
    <mergeCell ref="E10:O10"/>
    <mergeCell ref="B69:D69"/>
    <mergeCell ref="B64:D64"/>
    <mergeCell ref="B65:D65"/>
    <mergeCell ref="B66:D66"/>
    <mergeCell ref="B67:D67"/>
    <mergeCell ref="B68:D68"/>
    <mergeCell ref="E30:O30"/>
    <mergeCell ref="E31:O32"/>
    <mergeCell ref="E33:O34"/>
    <mergeCell ref="D26:O26"/>
    <mergeCell ref="D27:O27"/>
    <mergeCell ref="D28:O28"/>
    <mergeCell ref="D36:O36"/>
    <mergeCell ref="C49:O49"/>
    <mergeCell ref="C50:O50"/>
    <mergeCell ref="E61:I61"/>
    <mergeCell ref="B2:O2"/>
    <mergeCell ref="N3:O3"/>
    <mergeCell ref="B59:D59"/>
    <mergeCell ref="B58:D58"/>
    <mergeCell ref="E58:I58"/>
    <mergeCell ref="E59:I59"/>
    <mergeCell ref="C10:D10"/>
    <mergeCell ref="B10:B11"/>
    <mergeCell ref="B31:B32"/>
    <mergeCell ref="B33:B34"/>
    <mergeCell ref="B24:D24"/>
    <mergeCell ref="D35:O35"/>
    <mergeCell ref="D56:O56"/>
    <mergeCell ref="C37:O37"/>
    <mergeCell ref="C38:O38"/>
    <mergeCell ref="A10:A11"/>
    <mergeCell ref="E64:F64"/>
    <mergeCell ref="C44:O44"/>
    <mergeCell ref="C45:O45"/>
    <mergeCell ref="C46:O46"/>
    <mergeCell ref="C47:O47"/>
    <mergeCell ref="C48:O48"/>
    <mergeCell ref="E62:I62"/>
    <mergeCell ref="C54:O54"/>
    <mergeCell ref="C55:O55"/>
    <mergeCell ref="C51:O51"/>
    <mergeCell ref="C52:O52"/>
    <mergeCell ref="C53:O53"/>
    <mergeCell ref="B60:D60"/>
    <mergeCell ref="B61:D62"/>
    <mergeCell ref="E60:I60"/>
  </mergeCells>
  <pageMargins left="0.25" right="0.25" top="0.75" bottom="0.75" header="0.3" footer="0.3"/>
  <pageSetup paperSize="9" scale="9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Лист1!$A$5:$A$12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workbookViewId="0">
      <selection activeCell="B6" sqref="B6"/>
    </sheetView>
  </sheetViews>
  <sheetFormatPr defaultRowHeight="15" x14ac:dyDescent="0.25"/>
  <cols>
    <col min="1" max="1" width="27.28515625" customWidth="1"/>
    <col min="2" max="2" width="11" customWidth="1"/>
    <col min="4" max="6" width="11.42578125" customWidth="1"/>
    <col min="7" max="7" width="18.28515625" customWidth="1"/>
  </cols>
  <sheetData>
    <row r="1" spans="1:10" x14ac:dyDescent="0.25">
      <c r="A1" s="177" t="s">
        <v>155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5.5" customHeight="1" x14ac:dyDescent="0.25">
      <c r="A2" s="176" t="s">
        <v>153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25.5" x14ac:dyDescent="0.25">
      <c r="A3" s="178" t="s">
        <v>143</v>
      </c>
      <c r="B3" s="178" t="s">
        <v>144</v>
      </c>
      <c r="C3" s="178" t="s">
        <v>154</v>
      </c>
      <c r="D3" s="81" t="s">
        <v>145</v>
      </c>
      <c r="E3" s="81" t="s">
        <v>146</v>
      </c>
      <c r="F3" s="81" t="s">
        <v>147</v>
      </c>
      <c r="G3" s="81" t="s">
        <v>148</v>
      </c>
      <c r="H3" s="178" t="s">
        <v>149</v>
      </c>
      <c r="I3" s="178" t="s">
        <v>150</v>
      </c>
      <c r="J3" s="178" t="s">
        <v>151</v>
      </c>
    </row>
    <row r="4" spans="1:10" ht="56.25" customHeight="1" x14ac:dyDescent="0.25">
      <c r="A4" s="178"/>
      <c r="B4" s="178"/>
      <c r="C4" s="178"/>
      <c r="D4" s="82" t="s">
        <v>158</v>
      </c>
      <c r="E4" s="82" t="s">
        <v>159</v>
      </c>
      <c r="F4" s="82" t="s">
        <v>160</v>
      </c>
      <c r="G4" s="81" t="s">
        <v>152</v>
      </c>
      <c r="H4" s="178"/>
      <c r="I4" s="178"/>
      <c r="J4" s="178"/>
    </row>
    <row r="5" spans="1:10" x14ac:dyDescent="0.25">
      <c r="A5" s="83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7</v>
      </c>
      <c r="H5" s="83">
        <v>8</v>
      </c>
      <c r="I5" s="83">
        <v>9</v>
      </c>
      <c r="J5" s="83">
        <v>10</v>
      </c>
    </row>
    <row r="6" spans="1:10" x14ac:dyDescent="0.25">
      <c r="A6" s="84"/>
      <c r="B6" s="84"/>
      <c r="C6" s="84">
        <v>0</v>
      </c>
      <c r="D6" s="85">
        <v>0</v>
      </c>
      <c r="E6" s="85">
        <v>0</v>
      </c>
      <c r="F6" s="85">
        <v>0</v>
      </c>
      <c r="G6" s="86">
        <f>IFERROR(ROUND(AVERAGE(D6:F6),2)," ")</f>
        <v>0</v>
      </c>
      <c r="H6" s="86">
        <f>IFERROR(STDEV(D6:F6)," ")</f>
        <v>0</v>
      </c>
      <c r="I6" s="86" t="str">
        <f>IFERROR(H6/G6*100," ")</f>
        <v xml:space="preserve"> </v>
      </c>
      <c r="J6" s="83" t="str">
        <f>IFERROR(IF(I6&lt;15,"Да","Нет")," ")</f>
        <v>Нет</v>
      </c>
    </row>
    <row r="8" spans="1:10" x14ac:dyDescent="0.25">
      <c r="A8" s="176" t="s">
        <v>156</v>
      </c>
      <c r="B8" s="176"/>
      <c r="C8" s="176"/>
      <c r="D8" s="176"/>
      <c r="E8" s="176"/>
      <c r="F8" s="176"/>
      <c r="G8" s="176"/>
      <c r="H8" s="176"/>
      <c r="I8" s="176"/>
      <c r="J8" s="176"/>
    </row>
    <row r="9" spans="1:10" ht="49.5" customHeight="1" x14ac:dyDescent="0.25">
      <c r="A9" s="178" t="s">
        <v>143</v>
      </c>
      <c r="B9" s="178" t="s">
        <v>144</v>
      </c>
      <c r="C9" s="178" t="s">
        <v>163</v>
      </c>
      <c r="D9" s="81" t="s">
        <v>145</v>
      </c>
      <c r="E9" s="81" t="s">
        <v>146</v>
      </c>
      <c r="F9" s="81" t="s">
        <v>147</v>
      </c>
      <c r="G9" s="81" t="s">
        <v>148</v>
      </c>
      <c r="H9" s="178" t="s">
        <v>149</v>
      </c>
      <c r="I9" s="178" t="s">
        <v>150</v>
      </c>
      <c r="J9" s="178" t="s">
        <v>151</v>
      </c>
    </row>
    <row r="10" spans="1:10" ht="49.5" customHeight="1" x14ac:dyDescent="0.25">
      <c r="A10" s="178"/>
      <c r="B10" s="178"/>
      <c r="C10" s="178"/>
      <c r="D10" s="82"/>
      <c r="E10" s="82"/>
      <c r="F10" s="82"/>
      <c r="G10" s="81" t="s">
        <v>162</v>
      </c>
      <c r="H10" s="178"/>
      <c r="I10" s="178"/>
      <c r="J10" s="178"/>
    </row>
    <row r="11" spans="1:10" x14ac:dyDescent="0.25">
      <c r="A11" s="83">
        <v>1</v>
      </c>
      <c r="B11" s="83">
        <v>2</v>
      </c>
      <c r="C11" s="83">
        <v>3</v>
      </c>
      <c r="D11" s="83">
        <v>4</v>
      </c>
      <c r="E11" s="83">
        <v>5</v>
      </c>
      <c r="F11" s="83">
        <v>6</v>
      </c>
      <c r="G11" s="83">
        <v>7</v>
      </c>
      <c r="H11" s="83">
        <v>8</v>
      </c>
      <c r="I11" s="83">
        <v>9</v>
      </c>
      <c r="J11" s="83">
        <v>10</v>
      </c>
    </row>
    <row r="12" spans="1:10" x14ac:dyDescent="0.25">
      <c r="A12" s="84"/>
      <c r="B12" s="84"/>
      <c r="C12" s="84">
        <v>0</v>
      </c>
      <c r="D12" s="85">
        <v>0</v>
      </c>
      <c r="E12" s="85">
        <v>0</v>
      </c>
      <c r="F12" s="85">
        <v>0</v>
      </c>
      <c r="G12" s="86">
        <f>IFERROR(ROUND(AVERAGE(D12:F12),2)," ")</f>
        <v>0</v>
      </c>
      <c r="H12" s="86">
        <f>IFERROR(STDEV(D12:F12)," ")</f>
        <v>0</v>
      </c>
      <c r="I12" s="86" t="str">
        <f>IFERROR(H12/G12*100," ")</f>
        <v xml:space="preserve"> </v>
      </c>
      <c r="J12" s="83" t="str">
        <f>IFERROR(IF(I12&lt;15,"Да","Нет")," ")</f>
        <v>Нет</v>
      </c>
    </row>
    <row r="14" spans="1:10" x14ac:dyDescent="0.25">
      <c r="A14" s="176" t="s">
        <v>157</v>
      </c>
      <c r="B14" s="176"/>
      <c r="C14" s="176"/>
      <c r="D14" s="176"/>
      <c r="E14" s="176"/>
      <c r="F14" s="176"/>
      <c r="G14" s="176"/>
      <c r="H14" s="176"/>
      <c r="I14" s="176"/>
      <c r="J14" s="176"/>
    </row>
    <row r="15" spans="1:10" ht="25.5" x14ac:dyDescent="0.25">
      <c r="A15" s="178" t="s">
        <v>143</v>
      </c>
      <c r="B15" s="178" t="s">
        <v>144</v>
      </c>
      <c r="C15" s="178" t="s">
        <v>167</v>
      </c>
      <c r="D15" s="81" t="s">
        <v>145</v>
      </c>
      <c r="E15" s="81" t="s">
        <v>146</v>
      </c>
      <c r="F15" s="81" t="s">
        <v>147</v>
      </c>
      <c r="G15" s="81" t="s">
        <v>148</v>
      </c>
      <c r="H15" s="178" t="s">
        <v>149</v>
      </c>
      <c r="I15" s="178" t="s">
        <v>150</v>
      </c>
      <c r="J15" s="178" t="s">
        <v>151</v>
      </c>
    </row>
    <row r="16" spans="1:10" ht="38.25" x14ac:dyDescent="0.25">
      <c r="A16" s="178"/>
      <c r="B16" s="178"/>
      <c r="C16" s="178"/>
      <c r="D16" s="82"/>
      <c r="E16" s="82"/>
      <c r="F16" s="82"/>
      <c r="G16" s="81" t="s">
        <v>164</v>
      </c>
      <c r="H16" s="178"/>
      <c r="I16" s="178"/>
      <c r="J16" s="178"/>
    </row>
    <row r="17" spans="1:10" x14ac:dyDescent="0.25">
      <c r="A17" s="83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83">
        <v>7</v>
      </c>
      <c r="H17" s="83">
        <v>8</v>
      </c>
      <c r="I17" s="83">
        <v>9</v>
      </c>
      <c r="J17" s="83">
        <v>10</v>
      </c>
    </row>
    <row r="18" spans="1:10" x14ac:dyDescent="0.25">
      <c r="A18" s="84"/>
      <c r="B18" s="84"/>
      <c r="C18" s="84">
        <v>0</v>
      </c>
      <c r="D18" s="85">
        <v>0</v>
      </c>
      <c r="E18" s="85">
        <v>0</v>
      </c>
      <c r="F18" s="85">
        <v>0</v>
      </c>
      <c r="G18" s="86">
        <f>IFERROR(ROUND(AVERAGE(D18:F18),2)," ")</f>
        <v>0</v>
      </c>
      <c r="H18" s="86">
        <f>IFERROR(STDEV(D18:F18)," ")</f>
        <v>0</v>
      </c>
      <c r="I18" s="86" t="str">
        <f>IFERROR(H18/G18*100," ")</f>
        <v xml:space="preserve"> </v>
      </c>
      <c r="J18" s="83" t="str">
        <f>IFERROR(IF(I18&lt;15,"Да","Нет")," ")</f>
        <v>Нет</v>
      </c>
    </row>
    <row r="20" spans="1:10" x14ac:dyDescent="0.25">
      <c r="A20" s="176" t="s">
        <v>161</v>
      </c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ht="25.5" x14ac:dyDescent="0.25">
      <c r="A21" s="178" t="s">
        <v>143</v>
      </c>
      <c r="B21" s="178" t="s">
        <v>144</v>
      </c>
      <c r="C21" s="178" t="s">
        <v>165</v>
      </c>
      <c r="D21" s="81" t="s">
        <v>145</v>
      </c>
      <c r="E21" s="81" t="s">
        <v>146</v>
      </c>
      <c r="F21" s="81" t="s">
        <v>147</v>
      </c>
      <c r="G21" s="81" t="s">
        <v>148</v>
      </c>
      <c r="H21" s="178" t="s">
        <v>149</v>
      </c>
      <c r="I21" s="178" t="s">
        <v>150</v>
      </c>
      <c r="J21" s="178" t="s">
        <v>151</v>
      </c>
    </row>
    <row r="22" spans="1:10" ht="25.5" x14ac:dyDescent="0.25">
      <c r="A22" s="178"/>
      <c r="B22" s="178"/>
      <c r="C22" s="178"/>
      <c r="D22" s="82"/>
      <c r="E22" s="82"/>
      <c r="F22" s="82"/>
      <c r="G22" s="81" t="s">
        <v>166</v>
      </c>
      <c r="H22" s="178"/>
      <c r="I22" s="178"/>
      <c r="J22" s="178"/>
    </row>
    <row r="23" spans="1:10" x14ac:dyDescent="0.25">
      <c r="A23" s="83">
        <v>1</v>
      </c>
      <c r="B23" s="83">
        <v>2</v>
      </c>
      <c r="C23" s="83">
        <v>3</v>
      </c>
      <c r="D23" s="83">
        <v>4</v>
      </c>
      <c r="E23" s="83">
        <v>5</v>
      </c>
      <c r="F23" s="83">
        <v>6</v>
      </c>
      <c r="G23" s="83">
        <v>7</v>
      </c>
      <c r="H23" s="83">
        <v>8</v>
      </c>
      <c r="I23" s="83">
        <v>9</v>
      </c>
      <c r="J23" s="83">
        <v>10</v>
      </c>
    </row>
    <row r="24" spans="1:10" x14ac:dyDescent="0.25">
      <c r="A24" s="84"/>
      <c r="B24" s="84"/>
      <c r="C24" s="84">
        <v>0</v>
      </c>
      <c r="D24" s="85">
        <v>0</v>
      </c>
      <c r="E24" s="85">
        <v>0</v>
      </c>
      <c r="F24" s="85">
        <v>0</v>
      </c>
      <c r="G24" s="86">
        <f>IFERROR(ROUND(AVERAGE(D24:F24),2)," ")</f>
        <v>0</v>
      </c>
      <c r="H24" s="86">
        <f>IFERROR(STDEV(D24:F24)," ")</f>
        <v>0</v>
      </c>
      <c r="I24" s="86" t="str">
        <f>IFERROR(H24/G24*100," ")</f>
        <v xml:space="preserve"> </v>
      </c>
      <c r="J24" s="83" t="str">
        <f>IFERROR(IF(I24&lt;15,"Да","Нет")," ")</f>
        <v>Нет</v>
      </c>
    </row>
  </sheetData>
  <mergeCells count="29">
    <mergeCell ref="A20:J20"/>
    <mergeCell ref="A21:A22"/>
    <mergeCell ref="B21:B22"/>
    <mergeCell ref="C21:C22"/>
    <mergeCell ref="H21:H22"/>
    <mergeCell ref="I21:I22"/>
    <mergeCell ref="J21:J22"/>
    <mergeCell ref="A14:J14"/>
    <mergeCell ref="A15:A16"/>
    <mergeCell ref="B15:B16"/>
    <mergeCell ref="C15:C16"/>
    <mergeCell ref="H15:H16"/>
    <mergeCell ref="I15:I16"/>
    <mergeCell ref="J15:J16"/>
    <mergeCell ref="A8:J8"/>
    <mergeCell ref="A9:A10"/>
    <mergeCell ref="B9:B10"/>
    <mergeCell ref="C9:C10"/>
    <mergeCell ref="H9:H10"/>
    <mergeCell ref="I9:I10"/>
    <mergeCell ref="J9:J10"/>
    <mergeCell ref="A2:J2"/>
    <mergeCell ref="A1:J1"/>
    <mergeCell ref="H3:H4"/>
    <mergeCell ref="I3:I4"/>
    <mergeCell ref="J3:J4"/>
    <mergeCell ref="A3:A4"/>
    <mergeCell ref="B3:B4"/>
    <mergeCell ref="C3:C4"/>
  </mergeCells>
  <phoneticPr fontId="18" type="noConversion"/>
  <conditionalFormatting sqref="J6">
    <cfRule type="containsText" dxfId="15" priority="22" operator="containsText" text="Ложь">
      <formula>NOT(ISERROR(SEARCH("Ложь",J6)))</formula>
    </cfRule>
  </conditionalFormatting>
  <conditionalFormatting sqref="I6">
    <cfRule type="cellIs" dxfId="14" priority="21" operator="greaterThan">
      <formula>33</formula>
    </cfRule>
  </conditionalFormatting>
  <conditionalFormatting sqref="J6">
    <cfRule type="containsText" dxfId="13" priority="20" operator="containsText" text="Нет">
      <formula>NOT(ISERROR(SEARCH("Нет",J6)))</formula>
    </cfRule>
  </conditionalFormatting>
  <conditionalFormatting sqref="D6:F6">
    <cfRule type="cellIs" dxfId="12" priority="23" operator="greaterThan">
      <formula>#REF!</formula>
    </cfRule>
  </conditionalFormatting>
  <conditionalFormatting sqref="I12">
    <cfRule type="cellIs" dxfId="11" priority="16" operator="greaterThan">
      <formula>33</formula>
    </cfRule>
  </conditionalFormatting>
  <conditionalFormatting sqref="D12:F12">
    <cfRule type="cellIs" dxfId="10" priority="18" operator="greaterThan">
      <formula>#REF!</formula>
    </cfRule>
  </conditionalFormatting>
  <conditionalFormatting sqref="I18">
    <cfRule type="cellIs" dxfId="9" priority="12" operator="greaterThan">
      <formula>33</formula>
    </cfRule>
  </conditionalFormatting>
  <conditionalFormatting sqref="D18:F18">
    <cfRule type="cellIs" dxfId="8" priority="14" operator="greaterThan">
      <formula>#REF!</formula>
    </cfRule>
  </conditionalFormatting>
  <conditionalFormatting sqref="I24">
    <cfRule type="cellIs" dxfId="7" priority="8" operator="greaterThan">
      <formula>33</formula>
    </cfRule>
  </conditionalFormatting>
  <conditionalFormatting sqref="D24:F24">
    <cfRule type="cellIs" dxfId="6" priority="10" operator="greaterThan">
      <formula>#REF!</formula>
    </cfRule>
  </conditionalFormatting>
  <conditionalFormatting sqref="J12">
    <cfRule type="containsText" dxfId="5" priority="6" operator="containsText" text="Ложь">
      <formula>NOT(ISERROR(SEARCH("Ложь",J12)))</formula>
    </cfRule>
  </conditionalFormatting>
  <conditionalFormatting sqref="J12">
    <cfRule type="containsText" dxfId="4" priority="5" operator="containsText" text="Нет">
      <formula>NOT(ISERROR(SEARCH("Нет",J12)))</formula>
    </cfRule>
  </conditionalFormatting>
  <conditionalFormatting sqref="J18">
    <cfRule type="containsText" dxfId="3" priority="4" operator="containsText" text="Ложь">
      <formula>NOT(ISERROR(SEARCH("Ложь",J18)))</formula>
    </cfRule>
  </conditionalFormatting>
  <conditionalFormatting sqref="J18">
    <cfRule type="containsText" dxfId="2" priority="3" operator="containsText" text="Нет">
      <formula>NOT(ISERROR(SEARCH("Нет",J18)))</formula>
    </cfRule>
  </conditionalFormatting>
  <conditionalFormatting sqref="J24">
    <cfRule type="containsText" dxfId="1" priority="2" operator="containsText" text="Ложь">
      <formula>NOT(ISERROR(SEARCH("Ложь",J24)))</formula>
    </cfRule>
  </conditionalFormatting>
  <conditionalFormatting sqref="J24">
    <cfRule type="containsText" dxfId="0" priority="1" operator="containsText" text="Нет">
      <formula>NOT(ISERROR(SEARCH("Нет",J24)))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8"/>
  <sheetViews>
    <sheetView showGridLines="0" workbookViewId="0">
      <selection activeCell="AA14" sqref="AA14"/>
    </sheetView>
  </sheetViews>
  <sheetFormatPr defaultRowHeight="12.75" outlineLevelRow="1" x14ac:dyDescent="0.2"/>
  <cols>
    <col min="1" max="1" width="7.7109375" style="6" customWidth="1"/>
    <col min="2" max="2" width="44.85546875" style="6" customWidth="1"/>
    <col min="3" max="3" width="10.7109375" style="6" customWidth="1"/>
    <col min="4" max="4" width="9.140625" style="6"/>
    <col min="5" max="5" width="8.42578125" style="6" customWidth="1"/>
    <col min="6" max="6" width="6" style="6" bestFit="1" customWidth="1"/>
    <col min="7" max="7" width="5.5703125" style="7" customWidth="1"/>
    <col min="8" max="8" width="7.5703125" style="6" customWidth="1"/>
    <col min="9" max="10" width="5.7109375" style="6" customWidth="1"/>
    <col min="11" max="11" width="5.5703125" style="6" customWidth="1"/>
    <col min="12" max="12" width="7.5703125" style="6" hidden="1" customWidth="1"/>
    <col min="13" max="13" width="9.7109375" style="6" customWidth="1"/>
    <col min="14" max="14" width="9.28515625" style="6" hidden="1" customWidth="1"/>
    <col min="15" max="15" width="11.42578125" style="6" customWidth="1"/>
    <col min="16" max="16" width="13.5703125" style="6" customWidth="1"/>
    <col min="17" max="17" width="9.140625" style="6"/>
    <col min="18" max="24" width="0" style="6" hidden="1" customWidth="1"/>
    <col min="25" max="16384" width="9.140625" style="6"/>
  </cols>
  <sheetData>
    <row r="1" spans="1:24" x14ac:dyDescent="0.2">
      <c r="B1" s="6" t="s">
        <v>61</v>
      </c>
    </row>
    <row r="2" spans="1:24" ht="18.75" customHeight="1" x14ac:dyDescent="0.2">
      <c r="B2" s="136" t="s">
        <v>108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24" ht="24" customHeight="1" x14ac:dyDescent="0.2">
      <c r="B3" s="66" t="s">
        <v>60</v>
      </c>
      <c r="C3" s="67">
        <f>SUM(O12:O23)</f>
        <v>14912191.162597377</v>
      </c>
      <c r="G3" s="6"/>
      <c r="K3" s="9"/>
      <c r="L3" s="9"/>
      <c r="M3" s="9"/>
      <c r="N3" s="137"/>
      <c r="O3" s="137"/>
    </row>
    <row r="4" spans="1:24" ht="24" customHeight="1" x14ac:dyDescent="0.2">
      <c r="B4" s="8" t="s">
        <v>132</v>
      </c>
      <c r="C4" s="65" t="s">
        <v>128</v>
      </c>
      <c r="G4" s="6"/>
      <c r="K4" s="9"/>
      <c r="L4" s="9"/>
      <c r="M4" s="9"/>
      <c r="N4" s="95"/>
      <c r="O4" s="95"/>
    </row>
    <row r="5" spans="1:24" x14ac:dyDescent="0.2">
      <c r="B5" s="31" t="s">
        <v>109</v>
      </c>
      <c r="C5" s="69">
        <v>153</v>
      </c>
      <c r="G5" s="6"/>
    </row>
    <row r="6" spans="1:24" ht="14.25" x14ac:dyDescent="0.2">
      <c r="B6" s="71" t="s">
        <v>103</v>
      </c>
      <c r="C6" s="71" t="s">
        <v>90</v>
      </c>
      <c r="D6" s="92"/>
      <c r="E6" s="92"/>
      <c r="F6" s="92"/>
      <c r="G6" s="92"/>
      <c r="H6" s="92"/>
      <c r="I6" s="92"/>
      <c r="J6" s="92"/>
      <c r="K6" s="92"/>
    </row>
    <row r="7" spans="1:24" x14ac:dyDescent="0.2">
      <c r="B7" s="31">
        <f>'Расчет Стсо'!$G$6*'Расчет Стсо'!$C$6+'Расчет Стсо'!$G$12*'Расчет Стсо'!$C$12+'Расчет Стсо'!$C$18*'Расчет Стсо'!$G$18+'Расчет Стсо'!$C$24*'Расчет Стсо'!$G$24+C7</f>
        <v>0</v>
      </c>
      <c r="C7" s="70">
        <v>0</v>
      </c>
      <c r="D7" s="93"/>
      <c r="E7" s="93"/>
      <c r="F7" s="93"/>
      <c r="G7" s="93"/>
      <c r="H7" s="93"/>
      <c r="I7" s="93"/>
      <c r="J7" s="93"/>
      <c r="K7" s="94"/>
    </row>
    <row r="8" spans="1:24" ht="14.25" x14ac:dyDescent="0.2">
      <c r="B8" s="79" t="s">
        <v>104</v>
      </c>
      <c r="C8" s="71" t="s">
        <v>105</v>
      </c>
      <c r="D8" s="71" t="s">
        <v>92</v>
      </c>
      <c r="G8" s="6"/>
    </row>
    <row r="9" spans="1:24" x14ac:dyDescent="0.2">
      <c r="B9" s="77">
        <f>C9*D9</f>
        <v>0</v>
      </c>
      <c r="C9" s="77"/>
      <c r="D9" s="77"/>
      <c r="G9" s="6"/>
    </row>
    <row r="10" spans="1:24" x14ac:dyDescent="0.2">
      <c r="A10" s="179" t="s">
        <v>192</v>
      </c>
      <c r="B10" s="179" t="s">
        <v>57</v>
      </c>
      <c r="C10" s="179" t="s">
        <v>56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</row>
    <row r="11" spans="1:24" ht="51" x14ac:dyDescent="0.2">
      <c r="A11" s="179"/>
      <c r="B11" s="179"/>
      <c r="C11" s="71" t="s">
        <v>191</v>
      </c>
      <c r="D11" s="105" t="s">
        <v>126</v>
      </c>
      <c r="E11" s="71" t="s">
        <v>0</v>
      </c>
      <c r="F11" s="71" t="s">
        <v>19</v>
      </c>
      <c r="G11" s="71" t="s">
        <v>29</v>
      </c>
      <c r="H11" s="71" t="s">
        <v>30</v>
      </c>
      <c r="I11" s="71" t="s">
        <v>31</v>
      </c>
      <c r="J11" s="71" t="s">
        <v>32</v>
      </c>
      <c r="K11" s="71" t="s">
        <v>33</v>
      </c>
      <c r="L11" s="71"/>
      <c r="M11" s="105" t="s">
        <v>190</v>
      </c>
      <c r="N11" s="71"/>
      <c r="O11" s="105" t="s">
        <v>189</v>
      </c>
      <c r="Q11" s="105" t="s">
        <v>179</v>
      </c>
      <c r="R11" s="69" t="s">
        <v>180</v>
      </c>
      <c r="S11" s="69" t="s">
        <v>181</v>
      </c>
      <c r="T11" s="69" t="s">
        <v>182</v>
      </c>
      <c r="U11" s="69" t="s">
        <v>183</v>
      </c>
      <c r="V11" s="69" t="s">
        <v>184</v>
      </c>
      <c r="W11" s="69" t="s">
        <v>188</v>
      </c>
      <c r="X11" s="69" t="s">
        <v>186</v>
      </c>
    </row>
    <row r="12" spans="1:24" x14ac:dyDescent="0.2">
      <c r="A12" s="106" t="s">
        <v>193</v>
      </c>
      <c r="B12" s="106"/>
      <c r="C12" s="107">
        <f>$C$5*D12</f>
        <v>3672</v>
      </c>
      <c r="D12" s="108">
        <v>24</v>
      </c>
      <c r="E12" s="109">
        <f t="shared" ref="E12:E23" si="0">IF(SUM(G12:K12)&gt;0.35,F12+0.35,SUM(F12:K12))</f>
        <v>1.35</v>
      </c>
      <c r="F12" s="109">
        <f t="shared" ref="F12:F23" si="1">IF(D12=24,$E$48,IF(D12=12,$E$49,IF(D12=9,2-(0.0417*9),IF(D12=10,2-0.0417*10))))</f>
        <v>1</v>
      </c>
      <c r="G12" s="110">
        <v>0</v>
      </c>
      <c r="H12" s="110">
        <v>0.2</v>
      </c>
      <c r="I12" s="110">
        <v>0.3</v>
      </c>
      <c r="J12" s="110">
        <v>0.1</v>
      </c>
      <c r="K12" s="110">
        <v>0</v>
      </c>
      <c r="L12" s="70">
        <f>W12</f>
        <v>336.3659178034784</v>
      </c>
      <c r="M12" s="111">
        <f>W12*C12</f>
        <v>1235135.6501743726</v>
      </c>
      <c r="N12" s="111"/>
      <c r="O12" s="111">
        <f>(M12)*1*1.2</f>
        <v>1482162.780209247</v>
      </c>
      <c r="Q12" s="118">
        <f>($P$25+$P$27+$P$26)*E12</f>
        <v>20720.839500000002</v>
      </c>
      <c r="R12" s="118">
        <f>Q12*0.302</f>
        <v>6257.6935290000001</v>
      </c>
      <c r="S12" s="118">
        <f>Q12+R12+X12</f>
        <v>28325.387596500001</v>
      </c>
      <c r="T12" s="118">
        <f>S12*0.2</f>
        <v>5665.0775193000009</v>
      </c>
      <c r="U12" s="118">
        <f>(S12+T12)*0.05</f>
        <v>1699.5232557900003</v>
      </c>
      <c r="V12" s="118">
        <f>(S12+T12+U12)*6.88*1</f>
        <v>245547.11999653923</v>
      </c>
      <c r="W12" s="118">
        <f>V12/730</f>
        <v>336.3659178034784</v>
      </c>
      <c r="X12" s="118">
        <f>Q12*0.065</f>
        <v>1346.8545675000003</v>
      </c>
    </row>
    <row r="13" spans="1:24" x14ac:dyDescent="0.2">
      <c r="A13" s="106" t="s">
        <v>194</v>
      </c>
      <c r="B13" s="106"/>
      <c r="C13" s="107">
        <f t="shared" ref="C13:C18" si="2">$C$5*D13</f>
        <v>3672</v>
      </c>
      <c r="D13" s="108">
        <v>24</v>
      </c>
      <c r="E13" s="109">
        <f t="shared" si="0"/>
        <v>1.35</v>
      </c>
      <c r="F13" s="109">
        <f t="shared" si="1"/>
        <v>1</v>
      </c>
      <c r="G13" s="110">
        <v>0</v>
      </c>
      <c r="H13" s="110">
        <v>0.2</v>
      </c>
      <c r="I13" s="110">
        <v>0.3</v>
      </c>
      <c r="J13" s="110">
        <v>0.1</v>
      </c>
      <c r="K13" s="110">
        <v>0</v>
      </c>
      <c r="L13" s="70">
        <f t="shared" ref="L13:L23" si="3">W13</f>
        <v>336.3659178034784</v>
      </c>
      <c r="M13" s="111">
        <f t="shared" ref="M13:M23" si="4">W13*C13</f>
        <v>1235135.6501743726</v>
      </c>
      <c r="N13" s="111"/>
      <c r="O13" s="111">
        <f t="shared" ref="O13:O23" si="5">(M13)*1*1.2</f>
        <v>1482162.780209247</v>
      </c>
      <c r="Q13" s="118">
        <f>($P$25+$P$27+$P$26)*E13</f>
        <v>20720.839500000002</v>
      </c>
      <c r="R13" s="118">
        <f t="shared" ref="R13:R23" si="6">Q13*0.302</f>
        <v>6257.6935290000001</v>
      </c>
      <c r="S13" s="118">
        <f t="shared" ref="S13:S23" si="7">Q13+R13+X13</f>
        <v>28325.387596500001</v>
      </c>
      <c r="T13" s="118">
        <f t="shared" ref="T13:T23" si="8">S13*0.2</f>
        <v>5665.0775193000009</v>
      </c>
      <c r="U13" s="118">
        <f t="shared" ref="U13:U23" si="9">(S13+T13)*0.05</f>
        <v>1699.5232557900003</v>
      </c>
      <c r="V13" s="118">
        <f t="shared" ref="V13:V23" si="10">(S13+T13+U13)*6.88*1</f>
        <v>245547.11999653923</v>
      </c>
      <c r="W13" s="118">
        <f>V13/730</f>
        <v>336.3659178034784</v>
      </c>
      <c r="X13" s="118">
        <f t="shared" ref="X13:X23" si="11">Q13*0.065</f>
        <v>1346.8545675000003</v>
      </c>
    </row>
    <row r="14" spans="1:24" x14ac:dyDescent="0.2">
      <c r="A14" s="106" t="s">
        <v>195</v>
      </c>
      <c r="B14" s="106"/>
      <c r="C14" s="107">
        <v>1030</v>
      </c>
      <c r="D14" s="112">
        <v>10</v>
      </c>
      <c r="E14" s="109">
        <f>IF(SUM(G14:K14)&gt;0.35,F14+0.35,SUM(F14:K14))</f>
        <v>1.9329999999999998</v>
      </c>
      <c r="F14" s="109">
        <f t="shared" si="1"/>
        <v>1.583</v>
      </c>
      <c r="G14" s="110">
        <v>0</v>
      </c>
      <c r="H14" s="110">
        <v>0.2</v>
      </c>
      <c r="I14" s="110">
        <v>0.3</v>
      </c>
      <c r="J14" s="110">
        <v>0.1</v>
      </c>
      <c r="K14" s="110">
        <v>0</v>
      </c>
      <c r="L14" s="70">
        <f t="shared" si="3"/>
        <v>435.85169329144105</v>
      </c>
      <c r="M14" s="111">
        <f t="shared" si="4"/>
        <v>448927.24409018428</v>
      </c>
      <c r="N14" s="111"/>
      <c r="O14" s="111">
        <f t="shared" si="5"/>
        <v>538712.69290822116</v>
      </c>
      <c r="Q14" s="118">
        <f>($P$25)*E14</f>
        <v>26849.37</v>
      </c>
      <c r="R14" s="118">
        <f t="shared" si="6"/>
        <v>8108.5097399999995</v>
      </c>
      <c r="S14" s="118">
        <f t="shared" si="7"/>
        <v>36703.088789999994</v>
      </c>
      <c r="T14" s="118">
        <f t="shared" si="8"/>
        <v>7340.6177579999994</v>
      </c>
      <c r="U14" s="118">
        <f t="shared" si="9"/>
        <v>2202.1853274</v>
      </c>
      <c r="V14" s="118">
        <f t="shared" si="10"/>
        <v>318171.73610275198</v>
      </c>
      <c r="W14" s="118">
        <f t="shared" ref="W14:W23" si="12">V14/730</f>
        <v>435.85169329144105</v>
      </c>
      <c r="X14" s="118">
        <f t="shared" si="11"/>
        <v>1745.2090499999999</v>
      </c>
    </row>
    <row r="15" spans="1:24" x14ac:dyDescent="0.2">
      <c r="A15" s="106" t="s">
        <v>196</v>
      </c>
      <c r="B15" s="106"/>
      <c r="C15" s="107">
        <v>1030</v>
      </c>
      <c r="D15" s="112">
        <v>10</v>
      </c>
      <c r="E15" s="109">
        <f t="shared" si="0"/>
        <v>1.9329999999999998</v>
      </c>
      <c r="F15" s="109">
        <f t="shared" si="1"/>
        <v>1.583</v>
      </c>
      <c r="G15" s="110">
        <v>0</v>
      </c>
      <c r="H15" s="110">
        <v>0.2</v>
      </c>
      <c r="I15" s="110">
        <v>0.3</v>
      </c>
      <c r="J15" s="110">
        <v>0.1</v>
      </c>
      <c r="K15" s="110">
        <v>0</v>
      </c>
      <c r="L15" s="70">
        <f t="shared" si="3"/>
        <v>435.85169329144105</v>
      </c>
      <c r="M15" s="111">
        <f t="shared" si="4"/>
        <v>448927.24409018428</v>
      </c>
      <c r="N15" s="111"/>
      <c r="O15" s="111">
        <f t="shared" si="5"/>
        <v>538712.69290822116</v>
      </c>
      <c r="Q15" s="118">
        <f>($P$25)*E15</f>
        <v>26849.37</v>
      </c>
      <c r="R15" s="118">
        <f t="shared" si="6"/>
        <v>8108.5097399999995</v>
      </c>
      <c r="S15" s="118">
        <f t="shared" si="7"/>
        <v>36703.088789999994</v>
      </c>
      <c r="T15" s="118">
        <f t="shared" si="8"/>
        <v>7340.6177579999994</v>
      </c>
      <c r="U15" s="118">
        <f t="shared" si="9"/>
        <v>2202.1853274</v>
      </c>
      <c r="V15" s="118">
        <f t="shared" si="10"/>
        <v>318171.73610275198</v>
      </c>
      <c r="W15" s="118">
        <f t="shared" si="12"/>
        <v>435.85169329144105</v>
      </c>
      <c r="X15" s="118">
        <f t="shared" si="11"/>
        <v>1745.2090499999999</v>
      </c>
    </row>
    <row r="16" spans="1:24" x14ac:dyDescent="0.2">
      <c r="A16" s="106" t="s">
        <v>197</v>
      </c>
      <c r="B16" s="106"/>
      <c r="C16" s="107">
        <f t="shared" si="2"/>
        <v>3672</v>
      </c>
      <c r="D16" s="113">
        <v>24</v>
      </c>
      <c r="E16" s="109">
        <f t="shared" si="0"/>
        <v>1.35</v>
      </c>
      <c r="F16" s="109">
        <f t="shared" si="1"/>
        <v>1</v>
      </c>
      <c r="G16" s="110">
        <v>0</v>
      </c>
      <c r="H16" s="110">
        <v>0.2</v>
      </c>
      <c r="I16" s="110">
        <v>0.3</v>
      </c>
      <c r="J16" s="110">
        <v>0.1</v>
      </c>
      <c r="K16" s="110">
        <v>0</v>
      </c>
      <c r="L16" s="70">
        <f t="shared" si="3"/>
        <v>336.3659178034784</v>
      </c>
      <c r="M16" s="111">
        <f t="shared" si="4"/>
        <v>1235135.6501743726</v>
      </c>
      <c r="N16" s="111"/>
      <c r="O16" s="111">
        <f t="shared" si="5"/>
        <v>1482162.780209247</v>
      </c>
      <c r="Q16" s="118">
        <f>($P$25+$P$27+$P$26)*E16</f>
        <v>20720.839500000002</v>
      </c>
      <c r="R16" s="118">
        <f t="shared" si="6"/>
        <v>6257.6935290000001</v>
      </c>
      <c r="S16" s="118">
        <f t="shared" si="7"/>
        <v>28325.387596500001</v>
      </c>
      <c r="T16" s="118">
        <f t="shared" si="8"/>
        <v>5665.0775193000009</v>
      </c>
      <c r="U16" s="118">
        <f t="shared" si="9"/>
        <v>1699.5232557900003</v>
      </c>
      <c r="V16" s="118">
        <f t="shared" si="10"/>
        <v>245547.11999653923</v>
      </c>
      <c r="W16" s="118">
        <f t="shared" si="12"/>
        <v>336.3659178034784</v>
      </c>
      <c r="X16" s="118">
        <f t="shared" si="11"/>
        <v>1346.8545675000003</v>
      </c>
    </row>
    <row r="17" spans="1:24" x14ac:dyDescent="0.2">
      <c r="A17" s="106" t="s">
        <v>198</v>
      </c>
      <c r="B17" s="106"/>
      <c r="C17" s="107">
        <f t="shared" si="2"/>
        <v>3672</v>
      </c>
      <c r="D17" s="113">
        <v>24</v>
      </c>
      <c r="E17" s="109">
        <f t="shared" si="0"/>
        <v>1.35</v>
      </c>
      <c r="F17" s="109">
        <f t="shared" si="1"/>
        <v>1</v>
      </c>
      <c r="G17" s="110">
        <v>0</v>
      </c>
      <c r="H17" s="110">
        <v>0.2</v>
      </c>
      <c r="I17" s="110">
        <v>0.3</v>
      </c>
      <c r="J17" s="110">
        <v>0.1</v>
      </c>
      <c r="K17" s="110">
        <v>0</v>
      </c>
      <c r="L17" s="70">
        <f t="shared" si="3"/>
        <v>336.3659178034784</v>
      </c>
      <c r="M17" s="111">
        <f t="shared" si="4"/>
        <v>1235135.6501743726</v>
      </c>
      <c r="N17" s="111"/>
      <c r="O17" s="111">
        <f t="shared" si="5"/>
        <v>1482162.780209247</v>
      </c>
      <c r="Q17" s="118">
        <f>($P$25+$P$27+$P$26)*E17</f>
        <v>20720.839500000002</v>
      </c>
      <c r="R17" s="118">
        <f t="shared" si="6"/>
        <v>6257.6935290000001</v>
      </c>
      <c r="S17" s="118">
        <f t="shared" si="7"/>
        <v>28325.387596500001</v>
      </c>
      <c r="T17" s="118">
        <f t="shared" si="8"/>
        <v>5665.0775193000009</v>
      </c>
      <c r="U17" s="118">
        <f t="shared" si="9"/>
        <v>1699.5232557900003</v>
      </c>
      <c r="V17" s="118">
        <f t="shared" si="10"/>
        <v>245547.11999653923</v>
      </c>
      <c r="W17" s="118">
        <f t="shared" si="12"/>
        <v>336.3659178034784</v>
      </c>
      <c r="X17" s="118">
        <f t="shared" si="11"/>
        <v>1346.8545675000003</v>
      </c>
    </row>
    <row r="18" spans="1:24" x14ac:dyDescent="0.2">
      <c r="A18" s="106" t="s">
        <v>199</v>
      </c>
      <c r="B18" s="106"/>
      <c r="C18" s="107">
        <f t="shared" si="2"/>
        <v>3672</v>
      </c>
      <c r="D18" s="113">
        <v>24</v>
      </c>
      <c r="E18" s="109">
        <f t="shared" si="0"/>
        <v>1.35</v>
      </c>
      <c r="F18" s="109">
        <f t="shared" si="1"/>
        <v>1</v>
      </c>
      <c r="G18" s="110">
        <v>0</v>
      </c>
      <c r="H18" s="110">
        <v>0.2</v>
      </c>
      <c r="I18" s="110">
        <v>0.3</v>
      </c>
      <c r="J18" s="110">
        <v>0.1</v>
      </c>
      <c r="K18" s="110">
        <v>0</v>
      </c>
      <c r="L18" s="70">
        <f t="shared" si="3"/>
        <v>336.3659178034784</v>
      </c>
      <c r="M18" s="111">
        <f t="shared" si="4"/>
        <v>1235135.6501743726</v>
      </c>
      <c r="N18" s="111"/>
      <c r="O18" s="111">
        <f t="shared" si="5"/>
        <v>1482162.780209247</v>
      </c>
      <c r="Q18" s="118">
        <f>($P$25+$P$27+$P$26)*E18</f>
        <v>20720.839500000002</v>
      </c>
      <c r="R18" s="118">
        <f t="shared" si="6"/>
        <v>6257.6935290000001</v>
      </c>
      <c r="S18" s="118">
        <f t="shared" si="7"/>
        <v>28325.387596500001</v>
      </c>
      <c r="T18" s="118">
        <f t="shared" si="8"/>
        <v>5665.0775193000009</v>
      </c>
      <c r="U18" s="118">
        <f t="shared" si="9"/>
        <v>1699.5232557900003</v>
      </c>
      <c r="V18" s="118">
        <f t="shared" si="10"/>
        <v>245547.11999653923</v>
      </c>
      <c r="W18" s="118">
        <f t="shared" si="12"/>
        <v>336.3659178034784</v>
      </c>
      <c r="X18" s="118">
        <f t="shared" si="11"/>
        <v>1346.8545675000003</v>
      </c>
    </row>
    <row r="19" spans="1:24" x14ac:dyDescent="0.2">
      <c r="A19" s="106" t="s">
        <v>200</v>
      </c>
      <c r="B19" s="70"/>
      <c r="C19" s="107">
        <v>927</v>
      </c>
      <c r="D19" s="113">
        <v>9</v>
      </c>
      <c r="E19" s="109">
        <f t="shared" si="0"/>
        <v>1.9746999999999999</v>
      </c>
      <c r="F19" s="109">
        <f t="shared" si="1"/>
        <v>1.6247</v>
      </c>
      <c r="G19" s="110">
        <v>0.05</v>
      </c>
      <c r="H19" s="110">
        <v>0</v>
      </c>
      <c r="I19" s="110">
        <v>0.3</v>
      </c>
      <c r="J19" s="110">
        <v>0.1</v>
      </c>
      <c r="K19" s="110">
        <v>0</v>
      </c>
      <c r="L19" s="70">
        <f t="shared" si="3"/>
        <v>445.25418455385864</v>
      </c>
      <c r="M19" s="111">
        <f t="shared" si="4"/>
        <v>412750.62908142695</v>
      </c>
      <c r="N19" s="111"/>
      <c r="O19" s="111">
        <f t="shared" si="5"/>
        <v>495300.75489771232</v>
      </c>
      <c r="Q19" s="118">
        <f>($P$25)*E19</f>
        <v>27428.582999999999</v>
      </c>
      <c r="R19" s="118">
        <f t="shared" si="6"/>
        <v>8283.4320659999994</v>
      </c>
      <c r="S19" s="118">
        <f t="shared" si="7"/>
        <v>37494.872961000001</v>
      </c>
      <c r="T19" s="118">
        <f t="shared" si="8"/>
        <v>7498.9745922000002</v>
      </c>
      <c r="U19" s="118">
        <f t="shared" si="9"/>
        <v>2249.6923776600001</v>
      </c>
      <c r="V19" s="118">
        <f t="shared" si="10"/>
        <v>325035.55472431681</v>
      </c>
      <c r="W19" s="118">
        <f t="shared" si="12"/>
        <v>445.25418455385864</v>
      </c>
      <c r="X19" s="118">
        <f t="shared" si="11"/>
        <v>1782.8578949999999</v>
      </c>
    </row>
    <row r="20" spans="1:24" x14ac:dyDescent="0.2">
      <c r="A20" s="106" t="s">
        <v>201</v>
      </c>
      <c r="B20" s="106"/>
      <c r="C20" s="107">
        <v>3672</v>
      </c>
      <c r="D20" s="113">
        <v>24</v>
      </c>
      <c r="E20" s="109">
        <f t="shared" si="0"/>
        <v>1.35</v>
      </c>
      <c r="F20" s="109">
        <f t="shared" si="1"/>
        <v>1</v>
      </c>
      <c r="G20" s="110">
        <v>0.05</v>
      </c>
      <c r="H20" s="110">
        <v>0</v>
      </c>
      <c r="I20" s="110">
        <v>0.3</v>
      </c>
      <c r="J20" s="110">
        <v>0.1</v>
      </c>
      <c r="K20" s="110">
        <v>0</v>
      </c>
      <c r="L20" s="70">
        <f t="shared" si="3"/>
        <v>336.3659178034784</v>
      </c>
      <c r="M20" s="111">
        <f t="shared" si="4"/>
        <v>1235135.6501743726</v>
      </c>
      <c r="N20" s="111"/>
      <c r="O20" s="111">
        <f t="shared" si="5"/>
        <v>1482162.780209247</v>
      </c>
      <c r="Q20" s="118">
        <f>($P$25+$P$27+$P$26)*E20</f>
        <v>20720.839500000002</v>
      </c>
      <c r="R20" s="118">
        <f t="shared" si="6"/>
        <v>6257.6935290000001</v>
      </c>
      <c r="S20" s="118">
        <f t="shared" si="7"/>
        <v>28325.387596500001</v>
      </c>
      <c r="T20" s="118">
        <f t="shared" si="8"/>
        <v>5665.0775193000009</v>
      </c>
      <c r="U20" s="118">
        <f t="shared" si="9"/>
        <v>1699.5232557900003</v>
      </c>
      <c r="V20" s="118">
        <f t="shared" si="10"/>
        <v>245547.11999653923</v>
      </c>
      <c r="W20" s="118">
        <f t="shared" si="12"/>
        <v>336.3659178034784</v>
      </c>
      <c r="X20" s="118">
        <f t="shared" si="11"/>
        <v>1346.8545675000003</v>
      </c>
    </row>
    <row r="21" spans="1:24" x14ac:dyDescent="0.2">
      <c r="A21" s="106" t="s">
        <v>202</v>
      </c>
      <c r="B21" s="106"/>
      <c r="C21" s="107">
        <v>3672</v>
      </c>
      <c r="D21" s="113">
        <v>24</v>
      </c>
      <c r="E21" s="109">
        <f t="shared" si="0"/>
        <v>1.35</v>
      </c>
      <c r="F21" s="109">
        <f t="shared" si="1"/>
        <v>1</v>
      </c>
      <c r="G21" s="110">
        <v>0.05</v>
      </c>
      <c r="H21" s="110">
        <v>0</v>
      </c>
      <c r="I21" s="110">
        <v>0.3</v>
      </c>
      <c r="J21" s="110">
        <v>0.1</v>
      </c>
      <c r="K21" s="110">
        <v>0</v>
      </c>
      <c r="L21" s="70">
        <f t="shared" si="3"/>
        <v>336.3659178034784</v>
      </c>
      <c r="M21" s="111">
        <f t="shared" si="4"/>
        <v>1235135.6501743726</v>
      </c>
      <c r="N21" s="111"/>
      <c r="O21" s="111">
        <f t="shared" si="5"/>
        <v>1482162.780209247</v>
      </c>
      <c r="Q21" s="118">
        <f>($P$25+$P$27+$P$26)*E21</f>
        <v>20720.839500000002</v>
      </c>
      <c r="R21" s="118">
        <f t="shared" si="6"/>
        <v>6257.6935290000001</v>
      </c>
      <c r="S21" s="118">
        <f t="shared" si="7"/>
        <v>28325.387596500001</v>
      </c>
      <c r="T21" s="118">
        <f t="shared" si="8"/>
        <v>5665.0775193000009</v>
      </c>
      <c r="U21" s="118">
        <f t="shared" si="9"/>
        <v>1699.5232557900003</v>
      </c>
      <c r="V21" s="118">
        <f t="shared" si="10"/>
        <v>245547.11999653923</v>
      </c>
      <c r="W21" s="118">
        <f t="shared" si="12"/>
        <v>336.3659178034784</v>
      </c>
      <c r="X21" s="118">
        <f t="shared" si="11"/>
        <v>1346.8545675000003</v>
      </c>
    </row>
    <row r="22" spans="1:24" x14ac:dyDescent="0.2">
      <c r="A22" s="106" t="s">
        <v>203</v>
      </c>
      <c r="B22" s="106"/>
      <c r="C22" s="107">
        <v>3672</v>
      </c>
      <c r="D22" s="113">
        <v>24</v>
      </c>
      <c r="E22" s="109">
        <f t="shared" si="0"/>
        <v>1.35</v>
      </c>
      <c r="F22" s="109">
        <f t="shared" si="1"/>
        <v>1</v>
      </c>
      <c r="G22" s="110">
        <v>0.05</v>
      </c>
      <c r="H22" s="110">
        <v>0</v>
      </c>
      <c r="I22" s="110">
        <v>0.3</v>
      </c>
      <c r="J22" s="110">
        <v>0.1</v>
      </c>
      <c r="K22" s="110">
        <v>0</v>
      </c>
      <c r="L22" s="70">
        <f t="shared" si="3"/>
        <v>336.3659178034784</v>
      </c>
      <c r="M22" s="111">
        <f t="shared" si="4"/>
        <v>1235135.6501743726</v>
      </c>
      <c r="N22" s="111"/>
      <c r="O22" s="111">
        <f t="shared" si="5"/>
        <v>1482162.780209247</v>
      </c>
      <c r="Q22" s="118">
        <f>($P$25+$P$27+$P$26)*E22</f>
        <v>20720.839500000002</v>
      </c>
      <c r="R22" s="118">
        <f t="shared" si="6"/>
        <v>6257.6935290000001</v>
      </c>
      <c r="S22" s="118">
        <f t="shared" si="7"/>
        <v>28325.387596500001</v>
      </c>
      <c r="T22" s="118">
        <f t="shared" si="8"/>
        <v>5665.0775193000009</v>
      </c>
      <c r="U22" s="118">
        <f t="shared" si="9"/>
        <v>1699.5232557900003</v>
      </c>
      <c r="V22" s="118">
        <f t="shared" si="10"/>
        <v>245547.11999653923</v>
      </c>
      <c r="W22" s="118">
        <f t="shared" si="12"/>
        <v>336.3659178034784</v>
      </c>
      <c r="X22" s="118">
        <f t="shared" si="11"/>
        <v>1346.8545675000003</v>
      </c>
    </row>
    <row r="23" spans="1:24" x14ac:dyDescent="0.2">
      <c r="A23" s="106" t="s">
        <v>204</v>
      </c>
      <c r="B23" s="106"/>
      <c r="C23" s="107">
        <v>3672</v>
      </c>
      <c r="D23" s="113">
        <v>24</v>
      </c>
      <c r="E23" s="109">
        <f t="shared" si="0"/>
        <v>1.35</v>
      </c>
      <c r="F23" s="109">
        <f t="shared" si="1"/>
        <v>1</v>
      </c>
      <c r="G23" s="110">
        <v>0.05</v>
      </c>
      <c r="H23" s="110">
        <v>0</v>
      </c>
      <c r="I23" s="110">
        <v>0.3</v>
      </c>
      <c r="J23" s="110">
        <v>0.1</v>
      </c>
      <c r="K23" s="110">
        <v>0</v>
      </c>
      <c r="L23" s="70">
        <f t="shared" si="3"/>
        <v>336.3659178034784</v>
      </c>
      <c r="M23" s="111">
        <f t="shared" si="4"/>
        <v>1235135.6501743726</v>
      </c>
      <c r="N23" s="111"/>
      <c r="O23" s="111">
        <f t="shared" si="5"/>
        <v>1482162.780209247</v>
      </c>
      <c r="Q23" s="118">
        <f>($P$25+$P$27+$P$26)*E23</f>
        <v>20720.839500000002</v>
      </c>
      <c r="R23" s="118">
        <f t="shared" si="6"/>
        <v>6257.6935290000001</v>
      </c>
      <c r="S23" s="118">
        <f t="shared" si="7"/>
        <v>28325.387596500001</v>
      </c>
      <c r="T23" s="118">
        <f t="shared" si="8"/>
        <v>5665.0775193000009</v>
      </c>
      <c r="U23" s="118">
        <f t="shared" si="9"/>
        <v>1699.5232557900003</v>
      </c>
      <c r="V23" s="118">
        <f t="shared" si="10"/>
        <v>245547.11999653923</v>
      </c>
      <c r="W23" s="118">
        <f t="shared" si="12"/>
        <v>336.3659178034784</v>
      </c>
      <c r="X23" s="118">
        <f t="shared" si="11"/>
        <v>1346.8545675000003</v>
      </c>
    </row>
    <row r="24" spans="1:24" x14ac:dyDescent="0.2">
      <c r="B24" s="104" t="s">
        <v>125</v>
      </c>
      <c r="C24" s="96"/>
      <c r="D24" s="96"/>
      <c r="G24" s="6"/>
    </row>
    <row r="25" spans="1:24" ht="18.75" customHeight="1" outlineLevel="1" x14ac:dyDescent="0.2">
      <c r="B25" s="100" t="s">
        <v>185</v>
      </c>
      <c r="C25" s="181" t="s">
        <v>171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01">
        <v>13890</v>
      </c>
    </row>
    <row r="26" spans="1:24" ht="13.5" customHeight="1" outlineLevel="1" x14ac:dyDescent="0.2">
      <c r="B26" s="100" t="s">
        <v>138</v>
      </c>
      <c r="C26" s="180" t="s">
        <v>173</v>
      </c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01">
        <f>ROUND(P25*14/365,2)</f>
        <v>532.77</v>
      </c>
    </row>
    <row r="27" spans="1:24" ht="14.25" customHeight="1" outlineLevel="1" x14ac:dyDescent="0.2">
      <c r="B27" s="100" t="s">
        <v>3</v>
      </c>
      <c r="C27" s="180" t="s">
        <v>172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01">
        <f>ROUND(P25*0.2/3,2)</f>
        <v>926</v>
      </c>
    </row>
    <row r="28" spans="1:24" ht="17.25" customHeight="1" outlineLevel="1" x14ac:dyDescent="0.2">
      <c r="B28" s="100" t="s">
        <v>174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01">
        <v>6.88</v>
      </c>
    </row>
    <row r="29" spans="1:24" ht="36" hidden="1" customHeight="1" outlineLevel="1" x14ac:dyDescent="0.2">
      <c r="B29" s="100" t="s">
        <v>175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02"/>
    </row>
    <row r="30" spans="1:24" ht="17.25" hidden="1" customHeight="1" outlineLevel="1" x14ac:dyDescent="0.2">
      <c r="B30" s="100"/>
      <c r="C30" s="180" t="s">
        <v>176</v>
      </c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02"/>
    </row>
    <row r="31" spans="1:24" ht="28.5" hidden="1" customHeight="1" outlineLevel="1" x14ac:dyDescent="0.2">
      <c r="B31" s="103"/>
      <c r="C31" s="180" t="s">
        <v>178</v>
      </c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02"/>
    </row>
    <row r="32" spans="1:24" ht="17.25" hidden="1" customHeight="1" outlineLevel="1" x14ac:dyDescent="0.2">
      <c r="B32" s="97"/>
      <c r="C32" s="180" t="s">
        <v>177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17"/>
    </row>
    <row r="33" spans="2:16" ht="17.25" hidden="1" customHeight="1" outlineLevel="1" x14ac:dyDescent="0.2">
      <c r="B33" s="25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4"/>
      <c r="P33" s="116"/>
    </row>
    <row r="34" spans="2:16" ht="17.25" hidden="1" customHeight="1" outlineLevel="1" x14ac:dyDescent="0.2">
      <c r="B34" s="25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4"/>
      <c r="P34" s="116"/>
    </row>
    <row r="35" spans="2:16" ht="17.25" hidden="1" customHeight="1" outlineLevel="1" x14ac:dyDescent="0.2">
      <c r="B35" s="25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  <c r="P35" s="116"/>
    </row>
    <row r="36" spans="2:16" ht="17.25" hidden="1" customHeight="1" outlineLevel="1" x14ac:dyDescent="0.2">
      <c r="B36" s="25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4"/>
      <c r="P36" s="116"/>
    </row>
    <row r="37" spans="2:16" ht="17.25" hidden="1" customHeight="1" outlineLevel="1" x14ac:dyDescent="0.2">
      <c r="B37" s="25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/>
      <c r="P37" s="116"/>
    </row>
    <row r="38" spans="2:16" ht="17.25" hidden="1" customHeight="1" outlineLevel="1" x14ac:dyDescent="0.2">
      <c r="B38" s="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4"/>
      <c r="P38" s="116"/>
    </row>
    <row r="39" spans="2:16" ht="17.25" hidden="1" customHeight="1" outlineLevel="1" x14ac:dyDescent="0.2">
      <c r="B39" s="25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  <c r="P39" s="116"/>
    </row>
    <row r="40" spans="2:16" ht="17.25" hidden="1" customHeight="1" outlineLevel="1" x14ac:dyDescent="0.2">
      <c r="B40" s="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4"/>
      <c r="P40" s="116"/>
    </row>
    <row r="41" spans="2:16" ht="17.25" hidden="1" customHeight="1" outlineLevel="1" x14ac:dyDescent="0.2">
      <c r="B41" s="25"/>
      <c r="C41" s="127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9"/>
      <c r="P41" s="116"/>
    </row>
    <row r="42" spans="2:16" ht="17.25" hidden="1" customHeight="1" outlineLevel="1" x14ac:dyDescent="0.2">
      <c r="B42" s="25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4"/>
      <c r="P42" s="116"/>
    </row>
    <row r="43" spans="2:16" ht="17.25" hidden="1" customHeight="1" outlineLevel="1" x14ac:dyDescent="0.2">
      <c r="B43" s="25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4"/>
      <c r="P43" s="116"/>
    </row>
    <row r="44" spans="2:16" ht="13.5" hidden="1" outlineLevel="1" thickBot="1" x14ac:dyDescent="0.25">
      <c r="B44" s="27"/>
      <c r="C44" s="28"/>
      <c r="D44" s="154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6"/>
      <c r="P44" s="116"/>
    </row>
    <row r="45" spans="2:16" hidden="1" outlineLevel="1" x14ac:dyDescent="0.2">
      <c r="B45" s="114" t="s">
        <v>187</v>
      </c>
      <c r="C45" s="115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7"/>
    </row>
    <row r="46" spans="2:16" ht="13.5" collapsed="1" thickBot="1" x14ac:dyDescent="0.25">
      <c r="G46" s="6"/>
    </row>
    <row r="47" spans="2:16" ht="15.75" customHeight="1" thickBot="1" x14ac:dyDescent="0.25">
      <c r="B47" s="140" t="s">
        <v>21</v>
      </c>
      <c r="C47" s="141"/>
      <c r="D47" s="141"/>
      <c r="E47" s="142" t="s">
        <v>106</v>
      </c>
      <c r="F47" s="143"/>
      <c r="G47" s="143"/>
      <c r="H47" s="143"/>
      <c r="I47" s="143"/>
      <c r="J47" s="55"/>
    </row>
    <row r="48" spans="2:16" ht="13.5" customHeight="1" x14ac:dyDescent="0.2">
      <c r="B48" s="138" t="s">
        <v>23</v>
      </c>
      <c r="C48" s="139"/>
      <c r="D48" s="139"/>
      <c r="E48" s="144">
        <v>1</v>
      </c>
      <c r="F48" s="145"/>
      <c r="G48" s="145"/>
      <c r="H48" s="145"/>
      <c r="I48" s="145"/>
      <c r="J48" s="56" t="s">
        <v>19</v>
      </c>
    </row>
    <row r="49" spans="2:10" ht="12.75" customHeight="1" x14ac:dyDescent="0.2">
      <c r="B49" s="130" t="s">
        <v>25</v>
      </c>
      <c r="C49" s="131"/>
      <c r="D49" s="131"/>
      <c r="E49" s="134">
        <v>1.5</v>
      </c>
      <c r="F49" s="135"/>
      <c r="G49" s="135"/>
      <c r="H49" s="135"/>
      <c r="I49" s="135"/>
      <c r="J49" s="56" t="s">
        <v>19</v>
      </c>
    </row>
    <row r="50" spans="2:10" ht="15.75" customHeight="1" x14ac:dyDescent="0.2">
      <c r="B50" s="130" t="s">
        <v>27</v>
      </c>
      <c r="C50" s="131"/>
      <c r="D50" s="131"/>
      <c r="E50" s="134" t="s">
        <v>28</v>
      </c>
      <c r="F50" s="135"/>
      <c r="G50" s="135"/>
      <c r="H50" s="135"/>
      <c r="I50" s="135"/>
      <c r="J50" s="56" t="s">
        <v>19</v>
      </c>
    </row>
    <row r="51" spans="2:10" ht="32.25" customHeight="1" thickBot="1" x14ac:dyDescent="0.25">
      <c r="B51" s="132"/>
      <c r="C51" s="133"/>
      <c r="D51" s="133"/>
      <c r="E51" s="125" t="s">
        <v>107</v>
      </c>
      <c r="F51" s="125"/>
      <c r="G51" s="125"/>
      <c r="H51" s="125"/>
      <c r="I51" s="126"/>
      <c r="J51" s="57" t="s">
        <v>19</v>
      </c>
    </row>
    <row r="52" spans="2:10" ht="13.5" thickBot="1" x14ac:dyDescent="0.25"/>
    <row r="53" spans="2:10" s="29" customFormat="1" ht="15.75" customHeight="1" thickBot="1" x14ac:dyDescent="0.25">
      <c r="B53" s="159" t="s">
        <v>34</v>
      </c>
      <c r="C53" s="160"/>
      <c r="D53" s="161"/>
      <c r="E53" s="121" t="s">
        <v>43</v>
      </c>
      <c r="F53" s="122"/>
      <c r="G53" s="7"/>
    </row>
    <row r="54" spans="2:10" s="30" customFormat="1" ht="17.25" customHeight="1" x14ac:dyDescent="0.25">
      <c r="B54" s="138" t="s">
        <v>35</v>
      </c>
      <c r="C54" s="139"/>
      <c r="D54" s="139"/>
      <c r="E54" s="58">
        <v>0.05</v>
      </c>
      <c r="F54" s="63" t="s">
        <v>29</v>
      </c>
      <c r="G54" s="10"/>
    </row>
    <row r="55" spans="2:10" s="30" customFormat="1" ht="19.5" customHeight="1" x14ac:dyDescent="0.25">
      <c r="B55" s="130" t="s">
        <v>36</v>
      </c>
      <c r="C55" s="131"/>
      <c r="D55" s="131"/>
      <c r="E55" s="59">
        <v>0.2</v>
      </c>
      <c r="F55" s="61" t="s">
        <v>30</v>
      </c>
      <c r="G55" s="10"/>
    </row>
    <row r="56" spans="2:10" s="30" customFormat="1" ht="23.25" customHeight="1" x14ac:dyDescent="0.25">
      <c r="B56" s="130" t="s">
        <v>37</v>
      </c>
      <c r="C56" s="131"/>
      <c r="D56" s="131"/>
      <c r="E56" s="59">
        <v>0.3</v>
      </c>
      <c r="F56" s="61" t="s">
        <v>31</v>
      </c>
      <c r="G56" s="10"/>
    </row>
    <row r="57" spans="2:10" s="30" customFormat="1" ht="55.5" customHeight="1" x14ac:dyDescent="0.25">
      <c r="B57" s="130" t="s">
        <v>39</v>
      </c>
      <c r="C57" s="131"/>
      <c r="D57" s="131"/>
      <c r="E57" s="59">
        <v>0.1</v>
      </c>
      <c r="F57" s="61" t="s">
        <v>32</v>
      </c>
      <c r="G57" s="10"/>
    </row>
    <row r="58" spans="2:10" s="30" customFormat="1" ht="31.5" customHeight="1" thickBot="1" x14ac:dyDescent="0.3">
      <c r="B58" s="132" t="s">
        <v>41</v>
      </c>
      <c r="C58" s="133"/>
      <c r="D58" s="133"/>
      <c r="E58" s="60">
        <v>0.05</v>
      </c>
      <c r="F58" s="62" t="s">
        <v>33</v>
      </c>
      <c r="G58" s="10"/>
    </row>
  </sheetData>
  <mergeCells count="42">
    <mergeCell ref="D44:O44"/>
    <mergeCell ref="C39:O39"/>
    <mergeCell ref="C40:O40"/>
    <mergeCell ref="C41:O41"/>
    <mergeCell ref="C42:O42"/>
    <mergeCell ref="C43:O43"/>
    <mergeCell ref="B47:D47"/>
    <mergeCell ref="E47:I47"/>
    <mergeCell ref="B48:D48"/>
    <mergeCell ref="E48:I48"/>
    <mergeCell ref="B49:D49"/>
    <mergeCell ref="E49:I49"/>
    <mergeCell ref="B58:D58"/>
    <mergeCell ref="B50:D51"/>
    <mergeCell ref="E50:I50"/>
    <mergeCell ref="E51:I51"/>
    <mergeCell ref="B53:D53"/>
    <mergeCell ref="E53:F53"/>
    <mergeCell ref="B54:D54"/>
    <mergeCell ref="B55:D55"/>
    <mergeCell ref="B56:D56"/>
    <mergeCell ref="B57:D57"/>
    <mergeCell ref="C37:O37"/>
    <mergeCell ref="C38:O38"/>
    <mergeCell ref="C27:O27"/>
    <mergeCell ref="C28:O28"/>
    <mergeCell ref="C29:O29"/>
    <mergeCell ref="C30:O30"/>
    <mergeCell ref="C32:O32"/>
    <mergeCell ref="C31:O31"/>
    <mergeCell ref="C33:O33"/>
    <mergeCell ref="C34:O34"/>
    <mergeCell ref="C35:O35"/>
    <mergeCell ref="C36:O36"/>
    <mergeCell ref="A10:A11"/>
    <mergeCell ref="C26:O26"/>
    <mergeCell ref="C25:O25"/>
    <mergeCell ref="B2:O2"/>
    <mergeCell ref="N3:O3"/>
    <mergeCell ref="B10:B11"/>
    <mergeCell ref="C10:D10"/>
    <mergeCell ref="E10:O1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Лист1!$A$5:$A$12</xm:f>
          </x14:formula1>
          <xm:sqref>C4</xm:sqref>
        </x14:dataValidation>
        <x14:dataValidation type="list" allowBlank="1" showInputMessage="1" showErrorMessage="1" xr:uid="{00000000-0002-0000-0200-000001000000}">
          <x14:formula1>
            <xm:f>Лист1!$A$1:$A$4</xm:f>
          </x14:formula1>
          <xm:sqref>D12:D15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5"/>
  <sheetViews>
    <sheetView workbookViewId="0">
      <selection activeCell="A4" sqref="A4"/>
    </sheetView>
  </sheetViews>
  <sheetFormatPr defaultRowHeight="15" x14ac:dyDescent="0.25"/>
  <cols>
    <col min="1" max="1" width="18.42578125" customWidth="1"/>
  </cols>
  <sheetData>
    <row r="1" spans="1:2" x14ac:dyDescent="0.25">
      <c r="A1">
        <v>12</v>
      </c>
    </row>
    <row r="2" spans="1:2" x14ac:dyDescent="0.25">
      <c r="A2">
        <v>24</v>
      </c>
    </row>
    <row r="3" spans="1:2" x14ac:dyDescent="0.25">
      <c r="A3">
        <v>10</v>
      </c>
    </row>
    <row r="4" spans="1:2" x14ac:dyDescent="0.25">
      <c r="A4">
        <v>9</v>
      </c>
    </row>
    <row r="5" spans="1:2" x14ac:dyDescent="0.25">
      <c r="A5" t="s">
        <v>127</v>
      </c>
      <c r="B5">
        <f>ИПЦ!E22</f>
        <v>104.489</v>
      </c>
    </row>
    <row r="6" spans="1:2" x14ac:dyDescent="0.25">
      <c r="A6" t="s">
        <v>128</v>
      </c>
      <c r="B6">
        <f>ИПЦ!F22</f>
        <v>104.32299999999999</v>
      </c>
    </row>
    <row r="7" spans="1:2" x14ac:dyDescent="0.25">
      <c r="A7" t="s">
        <v>129</v>
      </c>
      <c r="B7">
        <f>ИПЦ!G22</f>
        <v>104.303</v>
      </c>
    </row>
    <row r="8" spans="1:2" x14ac:dyDescent="0.25">
      <c r="A8" t="s">
        <v>130</v>
      </c>
      <c r="B8">
        <f>AVERAGE(B5:B6)</f>
        <v>104.40600000000001</v>
      </c>
    </row>
    <row r="9" spans="1:2" x14ac:dyDescent="0.25">
      <c r="A9" t="s">
        <v>131</v>
      </c>
      <c r="B9">
        <f>AVERAGE(B6:B7)</f>
        <v>104.31299999999999</v>
      </c>
    </row>
    <row r="11" spans="1:2" x14ac:dyDescent="0.25">
      <c r="A11" t="s">
        <v>133</v>
      </c>
      <c r="B11">
        <v>14</v>
      </c>
    </row>
    <row r="12" spans="1:2" x14ac:dyDescent="0.25">
      <c r="A12" t="s">
        <v>134</v>
      </c>
      <c r="B12">
        <v>14</v>
      </c>
    </row>
    <row r="13" spans="1:2" x14ac:dyDescent="0.25">
      <c r="A13" t="s">
        <v>135</v>
      </c>
    </row>
    <row r="14" spans="1:2" x14ac:dyDescent="0.25">
      <c r="A14" t="s">
        <v>136</v>
      </c>
    </row>
    <row r="15" spans="1:2" x14ac:dyDescent="0.25">
      <c r="A15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9"/>
  <sheetViews>
    <sheetView workbookViewId="0">
      <selection activeCell="F22" sqref="F22"/>
    </sheetView>
  </sheetViews>
  <sheetFormatPr defaultRowHeight="15" x14ac:dyDescent="0.25"/>
  <cols>
    <col min="1" max="1" width="69.42578125" customWidth="1"/>
  </cols>
  <sheetData>
    <row r="1" spans="1:8" x14ac:dyDescent="0.25">
      <c r="A1" s="182" t="s">
        <v>110</v>
      </c>
      <c r="B1" s="32">
        <v>2018</v>
      </c>
      <c r="C1" s="32">
        <v>2019</v>
      </c>
      <c r="D1" s="32">
        <v>2020</v>
      </c>
      <c r="E1" s="32">
        <v>2021</v>
      </c>
      <c r="F1" s="32">
        <v>2022</v>
      </c>
      <c r="G1" s="32">
        <v>2023</v>
      </c>
      <c r="H1" s="32">
        <v>2024</v>
      </c>
    </row>
    <row r="2" spans="1:8" x14ac:dyDescent="0.25">
      <c r="A2" s="183"/>
      <c r="B2" s="33"/>
      <c r="C2" s="34" t="s">
        <v>111</v>
      </c>
      <c r="D2" s="184" t="s">
        <v>112</v>
      </c>
      <c r="E2" s="185"/>
      <c r="F2" s="185"/>
      <c r="G2" s="185"/>
      <c r="H2" s="185"/>
    </row>
    <row r="3" spans="1:8" ht="28.5" x14ac:dyDescent="0.25">
      <c r="A3" s="35" t="s">
        <v>124</v>
      </c>
      <c r="B3" s="36"/>
      <c r="C3" s="36"/>
      <c r="D3" s="37"/>
      <c r="E3" s="37"/>
      <c r="F3" s="37"/>
      <c r="G3" s="37"/>
      <c r="H3" s="37"/>
    </row>
    <row r="4" spans="1:8" x14ac:dyDescent="0.25">
      <c r="A4" s="38" t="s">
        <v>113</v>
      </c>
      <c r="B4" s="39">
        <v>104.26</v>
      </c>
      <c r="C4" s="39">
        <v>103.821</v>
      </c>
      <c r="D4" s="40">
        <v>103.155</v>
      </c>
      <c r="E4" s="40">
        <v>104.038</v>
      </c>
      <c r="F4" s="40">
        <v>104.014</v>
      </c>
      <c r="G4" s="40">
        <v>104.00700000000001</v>
      </c>
      <c r="H4" s="40">
        <v>103.999</v>
      </c>
    </row>
    <row r="5" spans="1:8" x14ac:dyDescent="0.25">
      <c r="A5" s="41" t="s">
        <v>114</v>
      </c>
      <c r="B5" s="42">
        <v>102.87</v>
      </c>
      <c r="C5" s="43">
        <v>104.651</v>
      </c>
      <c r="D5" s="44">
        <v>103.143</v>
      </c>
      <c r="E5" s="45">
        <v>103.76300000000001</v>
      </c>
      <c r="F5" s="45">
        <v>103.98099999999999</v>
      </c>
      <c r="G5" s="45">
        <v>103.95099999999999</v>
      </c>
      <c r="H5" s="45">
        <v>103.989</v>
      </c>
    </row>
    <row r="6" spans="1:8" x14ac:dyDescent="0.25">
      <c r="A6" s="46" t="s">
        <v>115</v>
      </c>
      <c r="B6" s="47"/>
      <c r="C6" s="47"/>
      <c r="D6" s="48"/>
      <c r="E6" s="48"/>
      <c r="F6" s="48"/>
      <c r="G6" s="48"/>
      <c r="H6" s="48"/>
    </row>
    <row r="7" spans="1:8" x14ac:dyDescent="0.25">
      <c r="A7" s="38" t="s">
        <v>113</v>
      </c>
      <c r="B7" s="39">
        <v>104.39</v>
      </c>
      <c r="C7" s="39">
        <v>103.56399999999999</v>
      </c>
      <c r="D7" s="40">
        <v>103.05</v>
      </c>
      <c r="E7" s="40">
        <v>103.872</v>
      </c>
      <c r="F7" s="40">
        <v>103.9</v>
      </c>
      <c r="G7" s="40">
        <v>103.89700000000001</v>
      </c>
      <c r="H7" s="40">
        <v>103.917</v>
      </c>
    </row>
    <row r="8" spans="1:8" x14ac:dyDescent="0.25">
      <c r="A8" s="41" t="s">
        <v>114</v>
      </c>
      <c r="B8" s="43">
        <v>102.52</v>
      </c>
      <c r="C8" s="43">
        <v>104.59699999999999</v>
      </c>
      <c r="D8" s="45">
        <v>102.99</v>
      </c>
      <c r="E8" s="45">
        <v>103.53</v>
      </c>
      <c r="F8" s="45">
        <v>104.194</v>
      </c>
      <c r="G8" s="45">
        <v>103.81699999999999</v>
      </c>
      <c r="H8" s="45">
        <v>103.889</v>
      </c>
    </row>
    <row r="9" spans="1:8" x14ac:dyDescent="0.25">
      <c r="A9" s="46" t="s">
        <v>116</v>
      </c>
      <c r="B9" s="47"/>
      <c r="C9" s="47"/>
      <c r="D9" s="48"/>
      <c r="E9" s="48"/>
      <c r="F9" s="48"/>
      <c r="G9" s="48"/>
      <c r="H9" s="48"/>
    </row>
    <row r="10" spans="1:8" x14ac:dyDescent="0.25">
      <c r="A10" s="38" t="s">
        <v>113</v>
      </c>
      <c r="B10" s="39">
        <v>104.66</v>
      </c>
      <c r="C10" s="39">
        <v>103.676</v>
      </c>
      <c r="D10" s="40">
        <v>102.91200000000001</v>
      </c>
      <c r="E10" s="40">
        <v>103.44799999999999</v>
      </c>
      <c r="F10" s="40">
        <v>103.58199999999999</v>
      </c>
      <c r="G10" s="40">
        <v>103.48</v>
      </c>
      <c r="H10" s="40">
        <v>103.583</v>
      </c>
    </row>
    <row r="11" spans="1:8" x14ac:dyDescent="0.25">
      <c r="A11" s="41" t="s">
        <v>117</v>
      </c>
      <c r="B11" s="43">
        <v>101.65</v>
      </c>
      <c r="C11" s="43">
        <v>105.29600000000001</v>
      </c>
      <c r="D11" s="45">
        <v>102.91500000000001</v>
      </c>
      <c r="E11" s="45">
        <v>103.167</v>
      </c>
      <c r="F11" s="45">
        <v>103.78100000000001</v>
      </c>
      <c r="G11" s="45">
        <v>103.41200000000001</v>
      </c>
      <c r="H11" s="45">
        <v>103.503</v>
      </c>
    </row>
    <row r="12" spans="1:8" x14ac:dyDescent="0.25">
      <c r="A12" s="49" t="s">
        <v>118</v>
      </c>
      <c r="B12" s="47"/>
      <c r="C12" s="47"/>
      <c r="D12" s="48"/>
      <c r="E12" s="48"/>
      <c r="F12" s="48"/>
      <c r="G12" s="48"/>
      <c r="H12" s="48"/>
    </row>
    <row r="13" spans="1:8" x14ac:dyDescent="0.25">
      <c r="A13" s="38" t="s">
        <v>113</v>
      </c>
      <c r="B13" s="50">
        <v>104.62</v>
      </c>
      <c r="C13" s="51">
        <v>103.63</v>
      </c>
      <c r="D13" s="50">
        <v>103.381</v>
      </c>
      <c r="E13" s="50">
        <v>103.541</v>
      </c>
      <c r="F13" s="50">
        <v>103.678</v>
      </c>
      <c r="G13" s="50">
        <v>103.423</v>
      </c>
      <c r="H13" s="50">
        <v>103.536</v>
      </c>
    </row>
    <row r="14" spans="1:8" x14ac:dyDescent="0.25">
      <c r="A14" s="41" t="s">
        <v>117</v>
      </c>
      <c r="B14" s="52">
        <v>101.81</v>
      </c>
      <c r="C14" s="53">
        <v>105.15</v>
      </c>
      <c r="D14" s="52">
        <v>103.327</v>
      </c>
      <c r="E14" s="52">
        <v>103.116</v>
      </c>
      <c r="F14" s="52">
        <v>104.126</v>
      </c>
      <c r="G14" s="52">
        <v>103.377</v>
      </c>
      <c r="H14" s="52">
        <v>103.44799999999999</v>
      </c>
    </row>
    <row r="15" spans="1:8" x14ac:dyDescent="0.25">
      <c r="A15" s="46" t="s">
        <v>119</v>
      </c>
      <c r="B15" s="47"/>
      <c r="C15" s="47"/>
      <c r="D15" s="48"/>
      <c r="E15" s="48"/>
      <c r="F15" s="48"/>
      <c r="G15" s="48"/>
      <c r="H15" s="48"/>
    </row>
    <row r="16" spans="1:8" x14ac:dyDescent="0.25">
      <c r="A16" s="38" t="s">
        <v>113</v>
      </c>
      <c r="B16" s="39">
        <v>104.1</v>
      </c>
      <c r="C16" s="39">
        <v>103.443</v>
      </c>
      <c r="D16" s="40">
        <v>103.19199999999999</v>
      </c>
      <c r="E16" s="40">
        <v>104.307</v>
      </c>
      <c r="F16" s="40">
        <v>104.226</v>
      </c>
      <c r="G16" s="40">
        <v>104.324</v>
      </c>
      <c r="H16" s="40">
        <v>104.26</v>
      </c>
    </row>
    <row r="17" spans="1:8" x14ac:dyDescent="0.25">
      <c r="A17" s="41" t="s">
        <v>117</v>
      </c>
      <c r="B17" s="43">
        <v>103.44</v>
      </c>
      <c r="C17" s="43">
        <v>103.867</v>
      </c>
      <c r="D17" s="45">
        <v>103.129</v>
      </c>
      <c r="E17" s="45">
        <v>103.904</v>
      </c>
      <c r="F17" s="45">
        <v>104.61799999999999</v>
      </c>
      <c r="G17" s="45">
        <v>104.233</v>
      </c>
      <c r="H17" s="45">
        <v>104.286</v>
      </c>
    </row>
    <row r="18" spans="1:8" x14ac:dyDescent="0.25">
      <c r="A18" s="49" t="s">
        <v>120</v>
      </c>
      <c r="B18" s="47"/>
      <c r="C18" s="47"/>
      <c r="D18" s="48"/>
      <c r="E18" s="48"/>
      <c r="F18" s="48"/>
      <c r="G18" s="48"/>
      <c r="H18" s="48"/>
    </row>
    <row r="19" spans="1:8" x14ac:dyDescent="0.25">
      <c r="A19" s="38" t="s">
        <v>113</v>
      </c>
      <c r="B19" s="50">
        <v>103.431</v>
      </c>
      <c r="C19" s="51">
        <v>103.627</v>
      </c>
      <c r="D19" s="50">
        <v>103.158</v>
      </c>
      <c r="E19" s="50">
        <v>104.316</v>
      </c>
      <c r="F19" s="50">
        <v>104.29300000000001</v>
      </c>
      <c r="G19" s="50">
        <v>104.35299999999999</v>
      </c>
      <c r="H19" s="50">
        <v>104.35299999999999</v>
      </c>
    </row>
    <row r="20" spans="1:8" x14ac:dyDescent="0.25">
      <c r="A20" s="41" t="s">
        <v>117</v>
      </c>
      <c r="B20" s="52">
        <v>102.715</v>
      </c>
      <c r="C20" s="53">
        <v>103.798</v>
      </c>
      <c r="D20" s="52">
        <v>103.15600000000001</v>
      </c>
      <c r="E20" s="52">
        <v>103.944</v>
      </c>
      <c r="F20" s="52">
        <v>104.69</v>
      </c>
      <c r="G20" s="52">
        <v>104.28700000000001</v>
      </c>
      <c r="H20" s="52">
        <v>104.35299999999999</v>
      </c>
    </row>
    <row r="21" spans="1:8" x14ac:dyDescent="0.25">
      <c r="A21" s="46" t="s">
        <v>121</v>
      </c>
      <c r="B21" s="47"/>
      <c r="C21" s="47"/>
      <c r="D21" s="48"/>
      <c r="E21" s="48"/>
      <c r="F21" s="48"/>
      <c r="G21" s="48"/>
      <c r="H21" s="48"/>
    </row>
    <row r="22" spans="1:8" x14ac:dyDescent="0.25">
      <c r="A22" s="38" t="s">
        <v>113</v>
      </c>
      <c r="B22" s="39">
        <v>103.94</v>
      </c>
      <c r="C22" s="39">
        <v>104.496</v>
      </c>
      <c r="D22" s="40">
        <v>103.441</v>
      </c>
      <c r="E22" s="54">
        <v>104.489</v>
      </c>
      <c r="F22" s="40">
        <v>104.32299999999999</v>
      </c>
      <c r="G22" s="40">
        <v>104.303</v>
      </c>
      <c r="H22" s="40">
        <v>104.21899999999999</v>
      </c>
    </row>
    <row r="23" spans="1:8" x14ac:dyDescent="0.25">
      <c r="A23" s="41" t="s">
        <v>114</v>
      </c>
      <c r="B23" s="43">
        <v>103.89</v>
      </c>
      <c r="C23" s="43">
        <v>104.767</v>
      </c>
      <c r="D23" s="45">
        <v>103.48399999999999</v>
      </c>
      <c r="E23" s="45">
        <v>104.395</v>
      </c>
      <c r="F23" s="45">
        <v>104.039</v>
      </c>
      <c r="G23" s="45">
        <v>104.313</v>
      </c>
      <c r="H23" s="45">
        <v>104.25700000000001</v>
      </c>
    </row>
    <row r="24" spans="1:8" x14ac:dyDescent="0.25">
      <c r="A24" s="49" t="s">
        <v>122</v>
      </c>
      <c r="B24" s="47"/>
      <c r="C24" s="47"/>
      <c r="D24" s="48"/>
      <c r="E24" s="48"/>
      <c r="F24" s="48"/>
      <c r="G24" s="48"/>
      <c r="H24" s="48"/>
    </row>
    <row r="25" spans="1:8" x14ac:dyDescent="0.25">
      <c r="A25" s="38" t="s">
        <v>113</v>
      </c>
      <c r="B25" s="50">
        <v>103.92</v>
      </c>
      <c r="C25" s="51">
        <v>104.895</v>
      </c>
      <c r="D25" s="50">
        <v>104.07599999999999</v>
      </c>
      <c r="E25" s="50">
        <v>103.959</v>
      </c>
      <c r="F25" s="50">
        <v>103.836</v>
      </c>
      <c r="G25" s="50">
        <v>103.872</v>
      </c>
      <c r="H25" s="50">
        <v>103.872</v>
      </c>
    </row>
    <row r="26" spans="1:8" x14ac:dyDescent="0.25">
      <c r="A26" s="41" t="s">
        <v>117</v>
      </c>
      <c r="B26" s="52">
        <v>104.16</v>
      </c>
      <c r="C26" s="53">
        <v>105.629</v>
      </c>
      <c r="D26" s="52">
        <v>103.346</v>
      </c>
      <c r="E26" s="52">
        <v>103.925</v>
      </c>
      <c r="F26" s="52">
        <v>104.006</v>
      </c>
      <c r="G26" s="52">
        <v>103.84699999999999</v>
      </c>
      <c r="H26" s="52">
        <v>103.872</v>
      </c>
    </row>
    <row r="27" spans="1:8" x14ac:dyDescent="0.25">
      <c r="A27" s="49" t="s">
        <v>123</v>
      </c>
      <c r="B27" s="47"/>
      <c r="C27" s="47"/>
      <c r="D27" s="48"/>
      <c r="E27" s="48"/>
      <c r="F27" s="48"/>
      <c r="G27" s="48"/>
      <c r="H27" s="48"/>
    </row>
    <row r="28" spans="1:8" x14ac:dyDescent="0.25">
      <c r="A28" s="38" t="s">
        <v>113</v>
      </c>
      <c r="B28" s="50">
        <v>103.95</v>
      </c>
      <c r="C28" s="51">
        <v>104.301</v>
      </c>
      <c r="D28" s="50">
        <v>103.129</v>
      </c>
      <c r="E28" s="50">
        <v>104.749</v>
      </c>
      <c r="F28" s="50">
        <v>104.562</v>
      </c>
      <c r="G28" s="50">
        <v>104.515</v>
      </c>
      <c r="H28" s="50">
        <v>104.39</v>
      </c>
    </row>
    <row r="29" spans="1:8" x14ac:dyDescent="0.25">
      <c r="A29" s="41" t="s">
        <v>117</v>
      </c>
      <c r="B29" s="50">
        <v>103.749</v>
      </c>
      <c r="C29" s="51">
        <v>104.331</v>
      </c>
      <c r="D29" s="52">
        <v>103.547</v>
      </c>
      <c r="E29" s="52">
        <v>104.623</v>
      </c>
      <c r="F29" s="52">
        <v>104.056</v>
      </c>
      <c r="G29" s="52">
        <v>104.54300000000001</v>
      </c>
      <c r="H29" s="52">
        <v>104.447</v>
      </c>
    </row>
  </sheetData>
  <mergeCells count="2">
    <mergeCell ref="A1:A2"/>
    <mergeCell ref="D2: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workbookViewId="0">
      <selection activeCell="B1" sqref="B1:C7"/>
    </sheetView>
  </sheetViews>
  <sheetFormatPr defaultRowHeight="15" x14ac:dyDescent="0.25"/>
  <cols>
    <col min="1" max="1" width="6.140625" style="1" customWidth="1"/>
    <col min="2" max="2" width="210.7109375" style="1" customWidth="1"/>
    <col min="3" max="16384" width="9.140625" style="1"/>
  </cols>
  <sheetData>
    <row r="1" spans="1:3" x14ac:dyDescent="0.25">
      <c r="A1" s="2" t="s">
        <v>20</v>
      </c>
      <c r="B1" s="2" t="s">
        <v>34</v>
      </c>
      <c r="C1" s="2" t="s">
        <v>43</v>
      </c>
    </row>
    <row r="2" spans="1:3" x14ac:dyDescent="0.25">
      <c r="A2" s="2" t="s">
        <v>22</v>
      </c>
      <c r="B2" s="2" t="s">
        <v>35</v>
      </c>
      <c r="C2" s="2">
        <v>0.05</v>
      </c>
    </row>
    <row r="3" spans="1:3" x14ac:dyDescent="0.25">
      <c r="A3" s="2" t="s">
        <v>24</v>
      </c>
      <c r="B3" s="2" t="s">
        <v>36</v>
      </c>
      <c r="C3" s="2">
        <v>0.2</v>
      </c>
    </row>
    <row r="4" spans="1:3" x14ac:dyDescent="0.25">
      <c r="A4" s="2" t="s">
        <v>26</v>
      </c>
      <c r="B4" s="2" t="s">
        <v>37</v>
      </c>
      <c r="C4" s="2">
        <v>0.3</v>
      </c>
    </row>
    <row r="5" spans="1:3" x14ac:dyDescent="0.25">
      <c r="A5" s="2" t="s">
        <v>38</v>
      </c>
      <c r="B5" s="2" t="s">
        <v>39</v>
      </c>
      <c r="C5" s="2">
        <v>0.1</v>
      </c>
    </row>
    <row r="6" spans="1:3" x14ac:dyDescent="0.25">
      <c r="A6" s="2" t="s">
        <v>40</v>
      </c>
      <c r="B6" s="2" t="s">
        <v>41</v>
      </c>
      <c r="C6" s="2">
        <v>0.05</v>
      </c>
    </row>
    <row r="7" spans="1:3" x14ac:dyDescent="0.25">
      <c r="A7" s="2" t="s">
        <v>42</v>
      </c>
      <c r="B7" s="2"/>
      <c r="C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21"/>
  <sheetViews>
    <sheetView workbookViewId="0">
      <selection activeCell="D20" sqref="D20"/>
    </sheetView>
  </sheetViews>
  <sheetFormatPr defaultRowHeight="15" x14ac:dyDescent="0.25"/>
  <cols>
    <col min="2" max="2" width="31.140625" customWidth="1"/>
  </cols>
  <sheetData>
    <row r="2" spans="1:9" ht="16.5" x14ac:dyDescent="0.3">
      <c r="A2" s="2" t="s">
        <v>4</v>
      </c>
      <c r="B2" s="2" t="s">
        <v>12</v>
      </c>
    </row>
    <row r="3" spans="1:9" ht="16.5" x14ac:dyDescent="0.3">
      <c r="A3" s="2" t="s">
        <v>5</v>
      </c>
      <c r="B3" s="2" t="s">
        <v>13</v>
      </c>
    </row>
    <row r="4" spans="1:9" ht="16.5" x14ac:dyDescent="0.3">
      <c r="A4" s="2" t="s">
        <v>6</v>
      </c>
      <c r="B4" s="2" t="s">
        <v>14</v>
      </c>
    </row>
    <row r="5" spans="1:9" ht="16.5" x14ac:dyDescent="0.3">
      <c r="A5" s="2" t="s">
        <v>7</v>
      </c>
      <c r="B5" s="2" t="s">
        <v>15</v>
      </c>
    </row>
    <row r="7" spans="1:9" ht="16.5" x14ac:dyDescent="0.3">
      <c r="A7" s="2" t="s">
        <v>8</v>
      </c>
      <c r="B7" s="2" t="s">
        <v>16</v>
      </c>
    </row>
    <row r="8" spans="1:9" ht="16.5" x14ac:dyDescent="0.3">
      <c r="A8" s="2" t="s">
        <v>9</v>
      </c>
      <c r="B8" s="2" t="s">
        <v>18</v>
      </c>
    </row>
    <row r="9" spans="1:9" ht="16.5" x14ac:dyDescent="0.3">
      <c r="A9" s="2" t="s">
        <v>10</v>
      </c>
      <c r="B9" s="2" t="s">
        <v>17</v>
      </c>
    </row>
    <row r="10" spans="1:9" ht="16.5" x14ac:dyDescent="0.3">
      <c r="A10" s="2" t="s">
        <v>11</v>
      </c>
      <c r="B10" s="2" t="s">
        <v>47</v>
      </c>
    </row>
    <row r="12" spans="1:9" x14ac:dyDescent="0.25">
      <c r="B12" s="5">
        <v>44348</v>
      </c>
      <c r="D12" t="s">
        <v>49</v>
      </c>
    </row>
    <row r="13" spans="1:9" x14ac:dyDescent="0.25">
      <c r="B13" s="4">
        <v>44561</v>
      </c>
      <c r="D13">
        <f>_xlfn.DAYS(B13,B12)</f>
        <v>213</v>
      </c>
      <c r="E13" t="s">
        <v>50</v>
      </c>
      <c r="I13" s="3">
        <v>44361</v>
      </c>
    </row>
    <row r="14" spans="1:9" x14ac:dyDescent="0.25">
      <c r="D14">
        <f>NETWORKDAYS(B12,B13,I13:I14)</f>
        <v>152</v>
      </c>
      <c r="E14" t="s">
        <v>51</v>
      </c>
      <c r="I14" s="3">
        <v>44504</v>
      </c>
    </row>
    <row r="16" spans="1:9" x14ac:dyDescent="0.25">
      <c r="D16">
        <f>D13-D14-D15</f>
        <v>61</v>
      </c>
      <c r="E16" t="s">
        <v>52</v>
      </c>
    </row>
    <row r="19" spans="4:5" x14ac:dyDescent="0.25">
      <c r="D19" t="s">
        <v>53</v>
      </c>
    </row>
    <row r="20" spans="4:5" x14ac:dyDescent="0.25">
      <c r="D20">
        <f>D13*16</f>
        <v>3408</v>
      </c>
      <c r="E20" t="s">
        <v>54</v>
      </c>
    </row>
    <row r="21" spans="4:5" x14ac:dyDescent="0.25">
      <c r="D21">
        <f>D13*8</f>
        <v>1704</v>
      </c>
      <c r="E21" t="s">
        <v>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Расчет</vt:lpstr>
      <vt:lpstr>Расчет Стсо</vt:lpstr>
      <vt:lpstr>П3</vt:lpstr>
      <vt:lpstr>Лист1</vt:lpstr>
      <vt:lpstr>ИПЦ</vt:lpstr>
      <vt:lpstr>Таблица №2</vt:lpstr>
      <vt:lpstr>ДНИ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2022-05-18T10:13:33Z</dcterms:modified>
</cp:coreProperties>
</file>